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uomenmetsakeskus-my.sharepoint.com/personal/eveliina_oinas_metsakeskus_fi/Documents/WOODCirlcles/Vastuullisuus/Scope 123 laskenta/"/>
    </mc:Choice>
  </mc:AlternateContent>
  <xr:revisionPtr revIDLastSave="0" documentId="8_{2B7A05D1-BE3C-4790-841F-318BBBD46807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A. Ohje" sheetId="1" r:id="rId1"/>
    <sheet name="B. Yhteenveto" sheetId="7" r:id="rId2"/>
    <sheet name="C." sheetId="3" r:id="rId3"/>
    <sheet name="D." sheetId="17" r:id="rId4"/>
    <sheet name="E." sheetId="4" r:id="rId5"/>
    <sheet name="F." sheetId="12" r:id="rId6"/>
    <sheet name="G." sheetId="14" r:id="rId7"/>
    <sheet name="H." sheetId="13" state="hidden" r:id="rId8"/>
    <sheet name="I." sheetId="15" r:id="rId9"/>
    <sheet name="J." sheetId="8" r:id="rId10"/>
    <sheet name="K." sheetId="9" r:id="rId11"/>
  </sheets>
  <externalReferences>
    <externalReference r:id="rId12"/>
  </externalReferences>
  <definedNames>
    <definedName name="Jos_saat_jäteraportin_tämän_kirjanpito_sivun_mukaiset_tiedot_jätehuollon_palveluntarjoajaltasi__ei_tarvitse_täyttää_tätä.">[1]Taul1!$B$8:$XFD$8</definedName>
    <definedName name="Jätelain_uudistus_edellyttää_tarkempaa_jätekirjanpitoa_toiminnanharjoittajalta__yrittäjältä___kun">[1]Taul1!$B$4:$XFD$8</definedName>
    <definedName name="toiminnassa__joka_on_ympäristösuojelain_mukaan_ilmoituksenvaraista">[1]Taul1!$B$6:$XFD$6</definedName>
    <definedName name="toiminnassa__syntyy_vuodessa_vähintää_100_tonnia_jätettä">[1]Taul1!$B$5:$XFD$5</definedName>
    <definedName name="toiminnassa_syntyy_vaarallista_jätettä_tai_POP_jätettä">[1]Taul1!$B$4:$XFD$4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3" l="1"/>
  <c r="C70" i="3"/>
  <c r="B28" i="7"/>
  <c r="B27" i="7"/>
  <c r="B32" i="7" l="1"/>
  <c r="B29" i="7"/>
  <c r="B26" i="17"/>
  <c r="B25" i="17"/>
  <c r="C19" i="14"/>
  <c r="D19" i="14" s="1"/>
  <c r="B61" i="7" s="1"/>
  <c r="B155" i="4"/>
  <c r="E44" i="4"/>
  <c r="E45" i="4"/>
  <c r="E46" i="4"/>
  <c r="E47" i="4"/>
  <c r="E48" i="4"/>
  <c r="E49" i="4"/>
  <c r="E20" i="4" l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42" i="4"/>
  <c r="E43" i="4"/>
  <c r="E41" i="4"/>
  <c r="F14" i="15"/>
  <c r="F15" i="15"/>
  <c r="F16" i="15"/>
  <c r="F17" i="15"/>
  <c r="F18" i="15"/>
  <c r="F19" i="15"/>
  <c r="F20" i="15"/>
  <c r="E14" i="15"/>
  <c r="E15" i="15"/>
  <c r="E16" i="15"/>
  <c r="E17" i="15"/>
  <c r="E18" i="15"/>
  <c r="E19" i="15"/>
  <c r="E20" i="15"/>
  <c r="B149" i="4"/>
  <c r="C31" i="3"/>
  <c r="E54" i="4"/>
  <c r="B13" i="17"/>
  <c r="B91" i="4"/>
  <c r="B90" i="4"/>
  <c r="C91" i="4"/>
  <c r="C90" i="4"/>
  <c r="E64" i="4"/>
  <c r="E68" i="4"/>
  <c r="E91" i="4" l="1"/>
  <c r="E90" i="4"/>
  <c r="B14" i="17"/>
  <c r="B66" i="3"/>
  <c r="C66" i="3" s="1"/>
  <c r="D66" i="3" s="1"/>
  <c r="B50" i="4"/>
  <c r="B52" i="3"/>
  <c r="C44" i="3"/>
  <c r="B37" i="13"/>
  <c r="B35" i="13"/>
  <c r="B25" i="13"/>
  <c r="B27" i="13" s="1"/>
  <c r="B38" i="7" s="1"/>
  <c r="B34" i="13"/>
  <c r="B33" i="13"/>
  <c r="B32" i="8"/>
  <c r="B22" i="8"/>
  <c r="B36" i="8"/>
  <c r="C38" i="4"/>
  <c r="B81" i="4"/>
  <c r="B24" i="17"/>
  <c r="B18" i="17"/>
  <c r="B17" i="17"/>
  <c r="B16" i="17"/>
  <c r="B15" i="17"/>
  <c r="B12" i="17"/>
  <c r="B23" i="17"/>
  <c r="B11" i="17"/>
  <c r="B10" i="17"/>
  <c r="B65" i="3"/>
  <c r="B70" i="3"/>
  <c r="B69" i="3"/>
  <c r="C69" i="3" s="1"/>
  <c r="B68" i="3"/>
  <c r="C68" i="3" s="1"/>
  <c r="B64" i="3"/>
  <c r="C64" i="3" s="1"/>
  <c r="D64" i="3" s="1"/>
  <c r="B63" i="3"/>
  <c r="C63" i="3" s="1"/>
  <c r="B62" i="3"/>
  <c r="C62" i="3" s="1"/>
  <c r="D62" i="3" s="1"/>
  <c r="C71" i="3" l="1"/>
  <c r="C65" i="3"/>
  <c r="D65" i="3" s="1"/>
  <c r="B37" i="8"/>
  <c r="B38" i="8" s="1"/>
  <c r="B40" i="7" s="1"/>
  <c r="B36" i="13"/>
  <c r="B38" i="13" s="1"/>
  <c r="B40" i="13" s="1"/>
  <c r="D63" i="3"/>
  <c r="C72" i="3" l="1"/>
  <c r="D71" i="3"/>
  <c r="D72" i="3" s="1"/>
  <c r="D73" i="3" s="1"/>
  <c r="B34" i="7"/>
  <c r="B30" i="7"/>
  <c r="C50" i="3"/>
  <c r="C46" i="3"/>
  <c r="C35" i="3"/>
  <c r="C30" i="3"/>
  <c r="B51" i="3"/>
  <c r="B36" i="3"/>
  <c r="B37" i="3"/>
  <c r="B35" i="7" l="1"/>
  <c r="B31" i="7"/>
  <c r="C37" i="3"/>
  <c r="C52" i="3"/>
  <c r="B33" i="7" s="1"/>
  <c r="B59" i="7"/>
  <c r="B18" i="13" l="1"/>
  <c r="B11" i="13"/>
  <c r="B13" i="13" s="1"/>
  <c r="B36" i="7" s="1"/>
  <c r="B20" i="13" l="1"/>
  <c r="B37" i="7" s="1"/>
  <c r="B43" i="7"/>
  <c r="B44" i="7" s="1"/>
  <c r="B22" i="7" l="1"/>
  <c r="B19" i="17"/>
  <c r="B21" i="7" s="1"/>
  <c r="C34" i="3"/>
  <c r="C33" i="3"/>
  <c r="C32" i="3"/>
  <c r="C29" i="3"/>
  <c r="B84" i="4"/>
  <c r="B94" i="4"/>
  <c r="B93" i="4"/>
  <c r="B92" i="4"/>
  <c r="B89" i="4"/>
  <c r="B88" i="4"/>
  <c r="B87" i="4"/>
  <c r="C93" i="4"/>
  <c r="B28" i="17" l="1"/>
  <c r="C25" i="17" s="1"/>
  <c r="E93" i="4"/>
  <c r="C94" i="4"/>
  <c r="E94" i="4" s="1"/>
  <c r="C92" i="4"/>
  <c r="E92" i="4" s="1"/>
  <c r="C89" i="4"/>
  <c r="C88" i="4"/>
  <c r="C87" i="4"/>
  <c r="C84" i="4"/>
  <c r="C83" i="4"/>
  <c r="C75" i="4"/>
  <c r="C74" i="4"/>
  <c r="C73" i="4"/>
  <c r="C67" i="4"/>
  <c r="C66" i="4"/>
  <c r="C65" i="4"/>
  <c r="C63" i="4"/>
  <c r="C62" i="4"/>
  <c r="C61" i="4"/>
  <c r="C60" i="4"/>
  <c r="C59" i="4"/>
  <c r="C56" i="4"/>
  <c r="C55" i="4"/>
  <c r="C53" i="4"/>
  <c r="C40" i="4"/>
  <c r="E40" i="4" s="1"/>
  <c r="C19" i="4"/>
  <c r="C50" i="4"/>
  <c r="B29" i="17" l="1"/>
  <c r="B23" i="7" s="1"/>
  <c r="B24" i="7" s="1"/>
  <c r="C14" i="17"/>
  <c r="C19" i="17"/>
  <c r="B34" i="17"/>
  <c r="B33" i="17"/>
  <c r="B35" i="17"/>
  <c r="C26" i="17"/>
  <c r="C18" i="17"/>
  <c r="C13" i="17"/>
  <c r="C17" i="17"/>
  <c r="C12" i="17"/>
  <c r="C24" i="17"/>
  <c r="C11" i="17"/>
  <c r="C23" i="17"/>
  <c r="C16" i="17"/>
  <c r="C15" i="17"/>
  <c r="C10" i="17"/>
  <c r="C81" i="4"/>
  <c r="C72" i="4"/>
  <c r="C47" i="3"/>
  <c r="C49" i="3"/>
  <c r="C48" i="3"/>
  <c r="C45" i="3"/>
  <c r="C43" i="3"/>
  <c r="C36" i="3"/>
  <c r="C28" i="3"/>
  <c r="C27" i="3"/>
  <c r="C42" i="3"/>
  <c r="F13" i="15" l="1"/>
  <c r="E13" i="15"/>
  <c r="F12" i="15"/>
  <c r="E12" i="15"/>
  <c r="F11" i="15"/>
  <c r="E11" i="15"/>
  <c r="F10" i="15"/>
  <c r="E10" i="15"/>
  <c r="B39" i="7"/>
  <c r="C16" i="14"/>
  <c r="C27" i="14"/>
  <c r="D16" i="14" l="1"/>
  <c r="B60" i="7" s="1"/>
  <c r="E21" i="15"/>
  <c r="F21" i="15"/>
  <c r="B45" i="7" s="1"/>
  <c r="E43" i="9" l="1"/>
  <c r="E39" i="9"/>
  <c r="E42" i="9"/>
  <c r="E41" i="9"/>
  <c r="E40" i="9"/>
  <c r="E37" i="9"/>
  <c r="E36" i="9"/>
  <c r="E34" i="9"/>
  <c r="E33" i="9"/>
  <c r="E32" i="9"/>
  <c r="E30" i="9"/>
  <c r="E29" i="9"/>
  <c r="E22" i="9"/>
  <c r="E23" i="9"/>
  <c r="E24" i="9"/>
  <c r="E25" i="9"/>
  <c r="E26" i="9"/>
  <c r="E27" i="9"/>
  <c r="E21" i="9"/>
  <c r="E14" i="9"/>
  <c r="E15" i="9"/>
  <c r="E16" i="9"/>
  <c r="E17" i="9"/>
  <c r="E18" i="9"/>
  <c r="E19" i="9"/>
  <c r="E13" i="9"/>
  <c r="E44" i="9" l="1"/>
  <c r="E38" i="9"/>
  <c r="E35" i="9"/>
  <c r="E31" i="9"/>
  <c r="E28" i="9"/>
  <c r="E20" i="9"/>
  <c r="E50" i="4" l="1"/>
  <c r="E59" i="4" l="1"/>
  <c r="D27" i="14" l="1"/>
  <c r="B62" i="7" s="1"/>
  <c r="E72" i="4"/>
  <c r="E81" i="4" l="1"/>
  <c r="B13" i="12" s="1"/>
  <c r="E53" i="4" l="1"/>
  <c r="B83" i="4"/>
  <c r="E75" i="4"/>
  <c r="E74" i="4"/>
  <c r="E73" i="4"/>
  <c r="E19" i="4"/>
  <c r="E38" i="4"/>
  <c r="E39" i="4" l="1"/>
  <c r="B10" i="12" s="1"/>
  <c r="E76" i="4"/>
  <c r="B14" i="12" s="1"/>
  <c r="E87" i="4" l="1"/>
  <c r="E89" i="4"/>
  <c r="E88" i="4"/>
  <c r="E84" i="4"/>
  <c r="E83" i="4"/>
  <c r="E67" i="4"/>
  <c r="E66" i="4"/>
  <c r="E65" i="4"/>
  <c r="E63" i="4"/>
  <c r="E62" i="4"/>
  <c r="E61" i="4"/>
  <c r="E60" i="4"/>
  <c r="E56" i="4"/>
  <c r="E55" i="4"/>
  <c r="E51" i="4"/>
  <c r="E57" i="4" l="1"/>
  <c r="B12" i="12" s="1"/>
  <c r="E70" i="4"/>
  <c r="B15" i="12" s="1"/>
  <c r="E85" i="4"/>
  <c r="B16" i="12" s="1"/>
  <c r="E95" i="4"/>
  <c r="B17" i="12" s="1"/>
  <c r="B11" i="12" l="1"/>
  <c r="E96" i="4" l="1"/>
  <c r="B18" i="12" s="1"/>
  <c r="B19" i="12" s="1"/>
  <c r="B25" i="7" s="1"/>
  <c r="B26" i="7" s="1"/>
  <c r="C11" i="12" l="1"/>
  <c r="C10" i="12"/>
  <c r="C16" i="12"/>
  <c r="C14" i="12"/>
  <c r="C12" i="12"/>
  <c r="C13" i="12"/>
  <c r="C17" i="12"/>
  <c r="C15" i="12"/>
  <c r="C18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tc={32E97E06-0957-468D-9450-D97644D50399}</author>
    <author>tc={D14C31A5-F5F2-4400-AE6E-C0790EAB8B44}</author>
  </authors>
  <commentList>
    <comment ref="B71" authorId="0" shapeId="0" xr:uid="{32E97E06-0957-468D-9450-D97644D50399}">
      <text>
        <t>[Kommenttiketju]
Excel-versiosi avulla voit lukea tämän kommenttiketjun, mutta siihen tehdyt muutokset poistetaan, jos tiedosto avataan uudemmassa Excel-versiossa. Lisätietoja: https://go.microsoft.com/fwlink/?linkid=870924
Kommentti:
    kulutusarvo m3</t>
      </text>
    </comment>
    <comment ref="C71" authorId="1" shapeId="0" xr:uid="{D14C31A5-F5F2-4400-AE6E-C0790EAB8B44}">
      <text>
        <t>[Kommenttiketju]
Excel-versiosi avulla voit lukea tämän kommenttiketjun, mutta siihen tehdyt muutokset poistetaan, jos tiedosto avataan uudemmassa Excel-versiossa. Lisätietoja: https://go.microsoft.com/fwlink/?linkid=870924
Kommentti:
    Voit muuttaa kaavassa tehollisen lämpöarvon =9.5 ja tiheyden =0.3 arvoja vastaamaan oikeita nimikkeitä</t>
      </text>
    </comment>
  </commentList>
</comments>
</file>

<file path=xl/sharedStrings.xml><?xml version="1.0" encoding="utf-8"?>
<sst xmlns="http://schemas.openxmlformats.org/spreadsheetml/2006/main" count="867" uniqueCount="561">
  <si>
    <t>Versio 1.1, viimeisin päivitys 21.8.2025</t>
  </si>
  <si>
    <t>Puutuotealan ympäristömittarit</t>
  </si>
  <si>
    <t xml:space="preserve">Tämä työkalu on tarkoitettu puuteollisuuden ympäristövaikutusten mittaamisen, seurannan ja raportoinnin avuksi. Työkalun avulla voit laskea sekä koota muista lähteistä keskeisiä  </t>
  </si>
  <si>
    <t>ympäristövaikutuksia kuvaavia mittaritietoja. Mittaritiedot auttavat seuraamaan ja kehittämään yritysten  ympäristövastuullisuutta sekä viestimään siitä esimerkiksi asiakkaille.</t>
  </si>
  <si>
    <t xml:space="preserve">Ennen mittaritietojen laskemista suosittelemme tutustumaan erilliseen Ympäristömittareiden tausta-aineistoon ja laskentaohjeeseen. </t>
  </si>
  <si>
    <t xml:space="preserve">Välilehdelle B kootaan yhteenveto mittaritiedoista. Osan mittareista voit saada suoraan esim. palveluntarjoajilta ja osan mittaritiedoista voit laskea tämän taulukon välilehdillä. </t>
  </si>
  <si>
    <t>Taulukkoon kannattaa kirjata ylös, mistä tai miten mittaritieto on saatu, jotta seuraavan vuoden tietojen kokoaminen on helpompaa ja tiedot ovat vertailukelpoiset.</t>
  </si>
  <si>
    <t xml:space="preserve">Varmista, että syötät tiedot oikeassa muodossa eli kysytäänkö massaa kiloina (kg) vai tonneina (t), tai energiankulutusta kilowattitunteina (kWh) vai megawattitunteina (MWh). </t>
  </si>
  <si>
    <t>Osa taulukosta on lukittu ja voit syöttää tietoja vain lukitsemattomiin ruutuihin. Kulutus- ja muut lähtötiedot syötetään keltaisiin soluihin ja mittaritiedot koostuvat</t>
  </si>
  <si>
    <t>automaattisesti syötettyjen tietojen perusteella vaaleanpunaisiin soluihin.</t>
  </si>
  <si>
    <t xml:space="preserve">Hiilijalanjälkilaskennassa tiedot syötetään välilehdelle C (scope 1 ja 2) ja E (scope 3) ja tulokset muodostuvat välilehdille D (scope 1 ja 2) ja F (scope 3) </t>
  </si>
  <si>
    <t>Taulukon välilehtien sisällöt</t>
  </si>
  <si>
    <r>
      <rPr>
        <b/>
        <sz val="11"/>
        <color theme="1"/>
        <rFont val="Calibri"/>
        <family val="2"/>
      </rPr>
      <t>A.</t>
    </r>
    <r>
      <rPr>
        <sz val="11"/>
        <color theme="1"/>
        <rFont val="Calibri"/>
        <family val="2"/>
      </rPr>
      <t xml:space="preserve"> Ohje</t>
    </r>
  </si>
  <si>
    <r>
      <rPr>
        <b/>
        <sz val="11"/>
        <color theme="1"/>
        <rFont val="Calibri"/>
        <family val="2"/>
      </rPr>
      <t>B.</t>
    </r>
    <r>
      <rPr>
        <sz val="11"/>
        <color theme="1"/>
        <rFont val="Calibri"/>
        <family val="2"/>
      </rPr>
      <t xml:space="preserve"> Yrityksen perustiedot ja mittaritietojen yhteenveto</t>
    </r>
  </si>
  <si>
    <r>
      <rPr>
        <b/>
        <sz val="11"/>
        <color theme="1"/>
        <rFont val="Calibri"/>
        <family val="2"/>
      </rPr>
      <t>C.</t>
    </r>
    <r>
      <rPr>
        <sz val="11"/>
        <color theme="1"/>
        <rFont val="Calibri"/>
        <family val="2"/>
      </rPr>
      <t xml:space="preserve"> Polttoaineiden ja ostoenergian kulutustiedot</t>
    </r>
  </si>
  <si>
    <r>
      <rPr>
        <b/>
        <sz val="11"/>
        <color theme="1"/>
        <rFont val="Calibri"/>
        <family val="2"/>
      </rPr>
      <t xml:space="preserve">D. </t>
    </r>
    <r>
      <rPr>
        <sz val="11"/>
        <color theme="1"/>
        <rFont val="Calibri"/>
        <family val="2"/>
      </rPr>
      <t>Yhteenveto hiilijalanjälki scope 1 &amp; 2</t>
    </r>
  </si>
  <si>
    <r>
      <rPr>
        <b/>
        <sz val="11"/>
        <color theme="1"/>
        <rFont val="Calibri"/>
        <family val="2"/>
      </rPr>
      <t>E.</t>
    </r>
    <r>
      <rPr>
        <sz val="11"/>
        <color theme="1"/>
        <rFont val="Calibri"/>
        <family val="2"/>
      </rPr>
      <t xml:space="preserve"> Epäsuorien päästöjen kulutustiedot</t>
    </r>
  </si>
  <si>
    <r>
      <rPr>
        <b/>
        <sz val="11"/>
        <color theme="1"/>
        <rFont val="Calibri"/>
        <family val="2"/>
      </rPr>
      <t>F.</t>
    </r>
    <r>
      <rPr>
        <sz val="11"/>
        <color theme="1"/>
        <rFont val="Calibri"/>
        <family val="2"/>
      </rPr>
      <t xml:space="preserve"> Yhteenveto hiilijalanjälki scope 3</t>
    </r>
  </si>
  <si>
    <r>
      <rPr>
        <b/>
        <sz val="11"/>
        <color theme="1"/>
        <rFont val="Calibri"/>
        <family val="2"/>
      </rPr>
      <t>G.</t>
    </r>
    <r>
      <rPr>
        <sz val="11"/>
        <color theme="1"/>
        <rFont val="Calibri"/>
        <family val="2"/>
      </rPr>
      <t xml:space="preserve"> Päästövähennykset</t>
    </r>
  </si>
  <si>
    <r>
      <rPr>
        <b/>
        <sz val="11"/>
        <color theme="1"/>
        <rFont val="Calibri"/>
        <family val="2"/>
      </rPr>
      <t>H.</t>
    </r>
    <r>
      <rPr>
        <sz val="11"/>
        <color theme="1"/>
        <rFont val="Calibri"/>
        <family val="2"/>
      </rPr>
      <t xml:space="preserve"> Puumateriaalin hukkaosuus</t>
    </r>
  </si>
  <si>
    <r>
      <rPr>
        <b/>
        <sz val="11"/>
        <color theme="1"/>
        <rFont val="Calibri"/>
        <family val="2"/>
      </rPr>
      <t>I.</t>
    </r>
    <r>
      <rPr>
        <sz val="11"/>
        <color theme="1"/>
        <rFont val="Calibri"/>
        <family val="2"/>
      </rPr>
      <t xml:space="preserve"> VOC-päästöt (liuottimien käyttömäärät) </t>
    </r>
  </si>
  <si>
    <r>
      <rPr>
        <b/>
        <sz val="11"/>
        <color theme="1"/>
        <rFont val="Calibri"/>
        <family val="2"/>
      </rPr>
      <t>J.</t>
    </r>
    <r>
      <rPr>
        <sz val="11"/>
        <color theme="1"/>
        <rFont val="Calibri"/>
        <family val="2"/>
      </rPr>
      <t xml:space="preserve"> Jätteiden lajitteluaste</t>
    </r>
  </si>
  <si>
    <r>
      <rPr>
        <b/>
        <sz val="11"/>
        <color theme="1"/>
        <rFont val="Calibri"/>
        <family val="2"/>
      </rPr>
      <t>K.</t>
    </r>
    <r>
      <rPr>
        <sz val="11"/>
        <color theme="1"/>
        <rFont val="Calibri"/>
        <family val="2"/>
      </rPr>
      <t xml:space="preserve"> Jätemäärien muuntotaulukko</t>
    </r>
  </si>
  <si>
    <t xml:space="preserve">Tämä mittari on muokattu puuteollisuuden tarpeisiin "Konepajan ympäristömittareiden laskentatyökalusta". </t>
  </si>
  <si>
    <t xml:space="preserve">Konepajan ympäristömittareiden laskentatyökalu on kehitetty Savon koulutuskuntayhtymän ja Savonia-ammattikorkeakoulun yhteistyönä Kiertotalousosaamista konepajoille -hankkeessa 2021-2022. </t>
  </si>
  <si>
    <t>Hanke on saanut rahoitusta Suomen itsenäisyyden juhlarahasto Sitralta. Työkalun käyttö on maksutonta.</t>
  </si>
  <si>
    <t>Toivomme, että ilmoitatte meille laskurin tekijöille havaitsemistanne virheistä tai parannusehdotuksista.</t>
  </si>
  <si>
    <t>Yhteystiedot:</t>
  </si>
  <si>
    <t>juha.kauppinen@sakky.fi</t>
  </si>
  <si>
    <t>Laskuriin tehdyt korjaukset tai muutokset</t>
  </si>
  <si>
    <t>7.6.2022 korjattu vaaralloisen jätteen päästökerroin (välilehti E)</t>
  </si>
  <si>
    <t>4.5.2023 päivitetty joitakin päästökertoimia</t>
  </si>
  <si>
    <t>11.3.2024 Scope 1 ja 2 päästökertoimet, välilehti D.</t>
  </si>
  <si>
    <t>11.3.2024 Suomen sähkön- ja lämmöntuotannon keskimääräiset päästökertoimet</t>
  </si>
  <si>
    <t xml:space="preserve">11.3.2024 Päästökertoimet, scope 3, välilehti E. </t>
  </si>
  <si>
    <t>21.8.2025 Muokkaus puuteollisuuden tarpeisiin v1.1</t>
  </si>
  <si>
    <t>Yrityksen perustiedot ja mittaritietojen yhteenveto</t>
  </si>
  <si>
    <t>Tälle sivulle syötetään yrityksen perustiedot sekä kootaan yhteenveto ympäristömittaritiedoista.</t>
  </si>
  <si>
    <t>Perustiedot</t>
  </si>
  <si>
    <t>Yrityksen nimi</t>
  </si>
  <si>
    <t>Yrityksen lyhyt kuvaus</t>
  </si>
  <si>
    <t>Laskennan ja tarkastelun rajaus</t>
  </si>
  <si>
    <t>Tietojen täyttäjä</t>
  </si>
  <si>
    <t>Tarkasteluvuosi</t>
  </si>
  <si>
    <t>Liikevaihto</t>
  </si>
  <si>
    <t>€/a</t>
  </si>
  <si>
    <t>Henkilötyövuosi</t>
  </si>
  <si>
    <t>htv</t>
  </si>
  <si>
    <t>Henkilötyötuntimäärä</t>
  </si>
  <si>
    <t>h</t>
  </si>
  <si>
    <t>Lämmitettävät tilat</t>
  </si>
  <si>
    <r>
      <t>m</t>
    </r>
    <r>
      <rPr>
        <b/>
        <vertAlign val="superscript"/>
        <sz val="11"/>
        <color theme="1"/>
        <rFont val="Calibri"/>
        <family val="2"/>
      </rPr>
      <t>2</t>
    </r>
  </si>
  <si>
    <t>Lämmitysmuoto</t>
  </si>
  <si>
    <t>Ympäristömittarit</t>
  </si>
  <si>
    <t>Yksikkö</t>
  </si>
  <si>
    <t xml:space="preserve">Mistä tieto saatu (esim. palveluntarjoaja, laskettu itse) </t>
  </si>
  <si>
    <t>Ohje</t>
  </si>
  <si>
    <t>Hiilijalanjälki scope 1</t>
  </si>
  <si>
    <r>
      <t>kgCO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ekv</t>
    </r>
  </si>
  <si>
    <r>
      <t xml:space="preserve">Hiilijalanjäljen scope 1 &amp; 2 voi laskea syöttämällä lähtötiedot välilehdelle </t>
    </r>
    <r>
      <rPr>
        <b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ja saat tuloksen välilehdelle </t>
    </r>
    <r>
      <rPr>
        <b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.  </t>
    </r>
  </si>
  <si>
    <t>Hiilijalanjälki scope 2</t>
  </si>
  <si>
    <t xml:space="preserve">Hiilijalanjälki scope 1&amp;2 </t>
  </si>
  <si>
    <r>
      <t>tCO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ekv</t>
    </r>
  </si>
  <si>
    <t>Hiilijalanjälki scope 1&amp;2 suhteessa liikevaihtoon</t>
  </si>
  <si>
    <r>
      <t>kgCO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ekv /1000 €</t>
    </r>
  </si>
  <si>
    <t>Hiilijalanjälki jaettuna yrityksen liikevaihdolla. Yksikkönä kg/1000 €</t>
  </si>
  <si>
    <t>Hiilijalanjälki scope 3</t>
  </si>
  <si>
    <r>
      <t xml:space="preserve">Hiilijalanjäljen scope 3 voit arvioida syöttämällä lähtötiedot välilehdelle </t>
    </r>
    <r>
      <rPr>
        <b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 ja saat tuloksen välilehdelle </t>
    </r>
    <r>
      <rPr>
        <b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.</t>
    </r>
  </si>
  <si>
    <t>Hiilijalanjälki, scope 3 suhteessa liikevaihtoon</t>
  </si>
  <si>
    <r>
      <t>kgCO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ekv /1000€</t>
    </r>
  </si>
  <si>
    <t>Sähköenergiankulutus</t>
  </si>
  <si>
    <t>MWh</t>
  </si>
  <si>
    <t>Tähän sisältyy sekä ostosähkö että mahdollinen oma sähköntuotanto</t>
  </si>
  <si>
    <t>Kaukolämpöenergiankulutus</t>
  </si>
  <si>
    <r>
      <t xml:space="preserve">Kulutustieto saadaan suoraan välilehdeltä </t>
    </r>
    <r>
      <rPr>
        <b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.</t>
    </r>
  </si>
  <si>
    <t>Kaukojäähdytys</t>
  </si>
  <si>
    <t>Polttoaineiden kulutus energiana</t>
  </si>
  <si>
    <t>Kokonaisenergiankulutus</t>
  </si>
  <si>
    <t>Uusiutuvan energian osuus sähkönkulutuksesta</t>
  </si>
  <si>
    <t>%</t>
  </si>
  <si>
    <r>
      <t xml:space="preserve">Uusiutuvan energian osuus saadaan suoraan välilehdeltä </t>
    </r>
    <r>
      <rPr>
        <b/>
        <sz val="11"/>
        <color theme="1"/>
        <rFont val="Calibri"/>
        <family val="2"/>
      </rPr>
      <t>C</t>
    </r>
  </si>
  <si>
    <t xml:space="preserve">Uusiutuvan energian osuus kaukolämmön kulutuksesta </t>
  </si>
  <si>
    <t>Uusiutuvan energian osuus polttoaineiden kulutuksesta</t>
  </si>
  <si>
    <t>Uusiutuvan energian osuus kokonaisenergiankulutuksesta</t>
  </si>
  <si>
    <t>Kaikki uusiutuvan energian käyttö jaettuna kokonaisenergiankulutuksella.</t>
  </si>
  <si>
    <t>Hukkaosuus, musta teräs</t>
  </si>
  <si>
    <r>
      <t xml:space="preserve">Hukkaosuuden voit laskea välilehdellä </t>
    </r>
    <r>
      <rPr>
        <b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>.</t>
    </r>
  </si>
  <si>
    <t>Hukkaosuus, kirkas teräs</t>
  </si>
  <si>
    <t>Hukkaosuus, muut metallit</t>
  </si>
  <si>
    <t>Puumateriaalin hukkaosuus (ei eritelty)</t>
  </si>
  <si>
    <t>Lajitteluaste</t>
  </si>
  <si>
    <r>
      <t xml:space="preserve">Useilta jätehuollon palveluntarjoajalta saat suoraan tiedon yrityksesi lajitteluasteesta. Mikäli tietoa ei saa, voit laskea sen välilehdellä </t>
    </r>
    <r>
      <rPr>
        <b/>
        <sz val="11"/>
        <color theme="1"/>
        <rFont val="Calibri"/>
        <family val="2"/>
      </rPr>
      <t>J</t>
    </r>
    <r>
      <rPr>
        <sz val="11"/>
        <color theme="1"/>
        <rFont val="Calibri"/>
        <family val="2"/>
      </rPr>
      <t xml:space="preserve">.  </t>
    </r>
  </si>
  <si>
    <t>Kierrätysaste</t>
  </si>
  <si>
    <t>Useilta jätehuollon palveluntarjoajalta saat suoraan tiedon yrityksesi kierrätysasteesta.</t>
  </si>
  <si>
    <t>Hyötykäyttöaste</t>
  </si>
  <si>
    <t>Useilta jätehuollon palveluntarjoajalta saat suoraan tiedon yrityksesi hyötykäyttöasteesta.</t>
  </si>
  <si>
    <t>Jätteiden kokonaismäärä t/a</t>
  </si>
  <si>
    <t>t</t>
  </si>
  <si>
    <r>
      <t xml:space="preserve">Useilta jätehuollon palveluntarjoajalta saat suoraan tiedon yrityksesi kokonaisjätemäärästä. Mikäli lasket lajitteluasteen itse, saat laskettua myös jätteiden kokonaismäärän välilehdellä </t>
    </r>
    <r>
      <rPr>
        <b/>
        <sz val="11"/>
        <color theme="1"/>
        <rFont val="Calibri"/>
        <family val="2"/>
      </rPr>
      <t>J</t>
    </r>
    <r>
      <rPr>
        <sz val="11"/>
        <color theme="1"/>
        <rFont val="Calibri"/>
        <family val="2"/>
      </rPr>
      <t>.</t>
    </r>
  </si>
  <si>
    <t>Jätteiden kokonaismäärä suhteessa liikevaihtoon</t>
  </si>
  <si>
    <t>kg/1000€</t>
  </si>
  <si>
    <t>Kokonaisjätemäärä jaettuna yrityksen liikevaihdolla. Yksikkönä kg/1000 €</t>
  </si>
  <si>
    <t>VOC-päästöt</t>
  </si>
  <si>
    <t>kg</t>
  </si>
  <si>
    <r>
      <t>Useilta kemikaalitoimittajilta saat suoraan tiedon yrityksesi VOC-päästöistä hankittujen kemikaalien osalta. Vaihtoehtoisesti voit laskea VOC-päästöt välilehdellä</t>
    </r>
    <r>
      <rPr>
        <b/>
        <sz val="11"/>
        <color theme="1"/>
        <rFont val="Calibri"/>
        <family val="2"/>
      </rPr>
      <t xml:space="preserve"> I</t>
    </r>
    <r>
      <rPr>
        <sz val="11"/>
        <color theme="1"/>
        <rFont val="Calibri"/>
        <family val="2"/>
      </rPr>
      <t>.</t>
    </r>
  </si>
  <si>
    <t>Vedenkulutus</t>
  </si>
  <si>
    <r>
      <t>m</t>
    </r>
    <r>
      <rPr>
        <vertAlign val="superscript"/>
        <sz val="11"/>
        <color theme="1"/>
        <rFont val="Calibri"/>
        <family val="2"/>
      </rPr>
      <t>3</t>
    </r>
  </si>
  <si>
    <t>Tiedon vedenkulutuksesta saa yleensä suoraan vesilaskusta tai tiedustelemalla veden toimittajalta.</t>
  </si>
  <si>
    <t xml:space="preserve">Pakkausmateriaalin käyttömäärät  </t>
  </si>
  <si>
    <t>Syötä nämä tiedot, mikäli yritys kuuluu pakkausten osalta tuottajavastuun piiriin.</t>
  </si>
  <si>
    <t>Paperikuidut (ml. Pahvi-, paperi- ja kartonkipakkaukset)</t>
  </si>
  <si>
    <t>Muovi</t>
  </si>
  <si>
    <t>Metallit</t>
  </si>
  <si>
    <t>Puu</t>
  </si>
  <si>
    <t>Muut</t>
  </si>
  <si>
    <t>Muita ympäristömittareita</t>
  </si>
  <si>
    <t>Uusiutuvilla energianlähteillä itse tuotettu sähkö</t>
  </si>
  <si>
    <t>Tämä tieto poimitaan välilehdeltä G.</t>
  </si>
  <si>
    <t>Omalla sähköntuotannolla saavutettu päästövähennys (scope 2)</t>
  </si>
  <si>
    <t>Päästövähennyksen voit laskea välilehdellä G.</t>
  </si>
  <si>
    <t>Omalla lämmöntuotannolla saavutettu päästövähennys (scope 2)</t>
  </si>
  <si>
    <t>Työmatkapyöräilyn tukemisella saavutettu päästövähennys (scope 3)</t>
  </si>
  <si>
    <t>Leikkuunesteen käyttömäärä</t>
  </si>
  <si>
    <t>l</t>
  </si>
  <si>
    <t>Hiilivarasto?</t>
  </si>
  <si>
    <t>Oma mittari</t>
  </si>
  <si>
    <t>Konepajan prosessit</t>
  </si>
  <si>
    <t>Nämä tiedot eivät ole varsinaisia ympäristömittareita, mutta nämä taustatiedot auttavat mittaritietojen (esimerkiksi hiilijalanjäljen tai hukkaosuuden) tulkinnassa.</t>
  </si>
  <si>
    <t>Leikkaus</t>
  </si>
  <si>
    <t>Kuinka suuri osuus raaka-aineista tulee valmiina leikkeinä (%)</t>
  </si>
  <si>
    <t>Hitsaus</t>
  </si>
  <si>
    <t>Särmäys</t>
  </si>
  <si>
    <t>Pintäkäsittely</t>
  </si>
  <si>
    <t>Lämpökäsittely</t>
  </si>
  <si>
    <t>Koneistus</t>
  </si>
  <si>
    <t>Polttoaineiden ja ostoenergian kulutustiedot</t>
  </si>
  <si>
    <t>Tälle sivulle syötetään tiedot yrityksen toiminnassa tarkasteluvuoden aikana käytetystä polttoaineesta sekä ostetusta sähkö- ja lämpöenergiasta.</t>
  </si>
  <si>
    <t>Näiden tietojen pohjalta saadaan laskettua yrityksen hiilijalanjälki scope 1 ja 2 osalta.</t>
  </si>
  <si>
    <t>Varmista, että syötät tiedot taulukkoon oikeassa muodossa (esim. MWh)</t>
  </si>
  <si>
    <t>Scope 1 Polttoaineiden kulutus (oma energiantuotanto ja ajoneuvot)</t>
  </si>
  <si>
    <t>Polttoaine</t>
  </si>
  <si>
    <t>Kulutus l/a</t>
  </si>
  <si>
    <t>Mistä kulutustieto on saatu? Onko kyseessä tarkka tieto vai arvio?</t>
  </si>
  <si>
    <t>Kevyt polttoöljy (l)</t>
  </si>
  <si>
    <t>Dieselöljy (l)</t>
  </si>
  <si>
    <t>Bensiini (l)</t>
  </si>
  <si>
    <t>Uusiutuva kevyt polttoöljy (l)</t>
  </si>
  <si>
    <t>Uusiutuva diesel (l)</t>
  </si>
  <si>
    <t>Kulutus kg/a</t>
  </si>
  <si>
    <t>Nesteytetty maakaasu (LNG) (kg)</t>
  </si>
  <si>
    <t>Nestekaasu (propaani) (kg)</t>
  </si>
  <si>
    <t>Nestekaasu (LPG, propaanin ja butaanin seos) (kg)</t>
  </si>
  <si>
    <r>
      <t>Puupohjainen polttoaine, esim. hake (i-m</t>
    </r>
    <r>
      <rPr>
        <vertAlign val="super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>)</t>
    </r>
  </si>
  <si>
    <t>Scope 2 Ostettu sähkö ja lämpö</t>
  </si>
  <si>
    <t>Sähkönkulutus</t>
  </si>
  <si>
    <t>MWh/a</t>
  </si>
  <si>
    <t>Ostosähkönkulutus yhteensä (MWh)</t>
  </si>
  <si>
    <r>
      <t>Sähköntoimittajan ilmoittama päästökerroin (kgCO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ekv/MWh)</t>
    </r>
  </si>
  <si>
    <t>Sähköntuotannon jakautuminen energialähteittäin</t>
  </si>
  <si>
    <t>Osuus kulutetun sähkön tuotannosta (MWh)</t>
  </si>
  <si>
    <t>Aurinkosähkö, tuulivoima tai vesivoima</t>
  </si>
  <si>
    <t>Puuperäiset polttoaineet</t>
  </si>
  <si>
    <t>Muut biopohjaiset polttoaineet (esim. biokaasu)</t>
  </si>
  <si>
    <t>Muu uusiutuva</t>
  </si>
  <si>
    <t>Ydinvoima</t>
  </si>
  <si>
    <t>Maakaasu</t>
  </si>
  <si>
    <t>Kivihiili, maakaasu tai turve</t>
  </si>
  <si>
    <t>Kevyt tai raskas polttoöljy</t>
  </si>
  <si>
    <t>Muu uusiutumaton</t>
  </si>
  <si>
    <t>Yhteensä:</t>
  </si>
  <si>
    <t>Uusiutuvan energian osuus sähkönkulutuksesta %</t>
  </si>
  <si>
    <t>Ostolämmönkulutus</t>
  </si>
  <si>
    <t>Kaukolämmönkulutus yhteensä (MWh)</t>
  </si>
  <si>
    <r>
      <t>Kaukolämpötoimittajan ilmoittama päästökerroin (kgCO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ekv/MWh) (HUOM! Valitse energiamenetelmällä laskettu päästökerroin)</t>
    </r>
  </si>
  <si>
    <t>Kaukolämmöntuotannon jakautuminen energialähteittäin</t>
  </si>
  <si>
    <t>Osuus kulutetun lämmön tuotannosta (MWh)</t>
  </si>
  <si>
    <t>Hukkalämpö</t>
  </si>
  <si>
    <t>Yhdyskuntajäte</t>
  </si>
  <si>
    <t>Uusiutuvan energian osuus kaukolämmönkulutuksesta %</t>
  </si>
  <si>
    <t xml:space="preserve">Jäähdytyksen kulutus </t>
  </si>
  <si>
    <t>Jäähdytyksen toimittajan ilmoittama päästökerroin (kgCO2ekv/MWh)</t>
  </si>
  <si>
    <t xml:space="preserve">Alla olevassa taulukossa polttoaineiden kulutus on muunnettu MWh:ksi, jotta saadaan selville kokonaisenergiankulutus MWh:na. </t>
  </si>
  <si>
    <t xml:space="preserve">MWh </t>
  </si>
  <si>
    <t>Uusiutuvan energian osuus MWh</t>
  </si>
  <si>
    <r>
      <t>Kulutus kg tai m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</rPr>
      <t>/a</t>
    </r>
  </si>
  <si>
    <r>
      <t>Puupohjainen polttoaine, esim. hake (i-m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)</t>
    </r>
  </si>
  <si>
    <t>Uusiutuvan energian osuus polttoaineiden kulutuksesta %</t>
  </si>
  <si>
    <t>Yhteenveto hiilijalanjälki scope 1 &amp; 2</t>
  </si>
  <si>
    <t xml:space="preserve">Tälle sivulle taulukkoon tulevat yhteenvetona scope 1 ja 2 kasvihuonekaasupäästöt. </t>
  </si>
  <si>
    <t>Ne lasketaan automaattisesti edelliselle välilehdelle syötettyjen kulutustietojen ja päästökertoimien avulla</t>
  </si>
  <si>
    <r>
      <t xml:space="preserve">Scope 1 Polttoaineiden kulutuksen fossiiliset hiilidioksisipäästöt 
</t>
    </r>
    <r>
      <rPr>
        <b/>
        <i/>
        <sz val="10"/>
        <color theme="1"/>
        <rFont val="Calibri"/>
        <family val="2"/>
      </rPr>
      <t>(HUOM! Päästöissä ei mukana muita polttoaineiden kulutuksesta aiheutuvia kasvihuonekaasupäästöjä ks. Tarkemmat tiedot laskurin käyttö- ja taustaohje)</t>
    </r>
  </si>
  <si>
    <t>Päästöt, kgCO₂</t>
  </si>
  <si>
    <t>Osuus Scope 1&amp;2 päästöistä</t>
  </si>
  <si>
    <t xml:space="preserve">Kevyt polttoöljy </t>
  </si>
  <si>
    <t>Dieselöljy</t>
  </si>
  <si>
    <t>Bensiini</t>
  </si>
  <si>
    <t>Uusiutuva diesel</t>
  </si>
  <si>
    <t>Nesteytetty maakaasu (LNG)</t>
  </si>
  <si>
    <t>Nestekaasu (propaani)</t>
  </si>
  <si>
    <t>Nestekaasu (LPG, propaanin ja butaanin seos)</t>
  </si>
  <si>
    <t>Puupohjainen polttoaine, esim. hake</t>
  </si>
  <si>
    <t>Yhteensä</t>
  </si>
  <si>
    <r>
      <t>Scope 2 Ostetun sähkön ja lämmön sekä jäähdytyksen fossiiliset kasvihuonekaasupäästöt (CO</t>
    </r>
    <r>
      <rPr>
        <b/>
        <vertAlign val="subscript"/>
        <sz val="12"/>
        <color theme="1"/>
        <rFont val="Calibri"/>
        <family val="2"/>
      </rPr>
      <t xml:space="preserve">2, </t>
    </r>
    <r>
      <rPr>
        <b/>
        <sz val="12"/>
        <color theme="1"/>
        <rFont val="Calibri"/>
        <family val="2"/>
      </rPr>
      <t>N</t>
    </r>
    <r>
      <rPr>
        <b/>
        <vertAlign val="subscript"/>
        <sz val="12"/>
        <color theme="1"/>
        <rFont val="Calibri"/>
        <family val="2"/>
      </rPr>
      <t>2</t>
    </r>
    <r>
      <rPr>
        <b/>
        <sz val="12"/>
        <color theme="1"/>
        <rFont val="Calibri"/>
        <family val="2"/>
      </rPr>
      <t>O</t>
    </r>
    <r>
      <rPr>
        <b/>
        <vertAlign val="subscript"/>
        <sz val="12"/>
        <color theme="1"/>
        <rFont val="Calibri"/>
        <family val="2"/>
      </rPr>
      <t xml:space="preserve"> ja </t>
    </r>
    <r>
      <rPr>
        <b/>
        <sz val="12"/>
        <color theme="1"/>
        <rFont val="Calibri"/>
        <family val="2"/>
      </rPr>
      <t>CH</t>
    </r>
    <r>
      <rPr>
        <b/>
        <vertAlign val="subscript"/>
        <sz val="12"/>
        <color theme="1"/>
        <rFont val="Calibri"/>
        <family val="2"/>
      </rPr>
      <t>4</t>
    </r>
    <r>
      <rPr>
        <b/>
        <sz val="12"/>
        <color theme="1"/>
        <rFont val="Calibri"/>
        <family val="2"/>
      </rPr>
      <t>)</t>
    </r>
  </si>
  <si>
    <t xml:space="preserve">Päästöt, kgCO₂ekv </t>
  </si>
  <si>
    <t>Sähkö</t>
  </si>
  <si>
    <t>Kaukolämpö</t>
  </si>
  <si>
    <t>Hiilijalanjälki yhteensä (scope 1 ja 2)</t>
  </si>
  <si>
    <t>kg CO₂ekv</t>
  </si>
  <si>
    <t>tonnia CO₂ekv</t>
  </si>
  <si>
    <t>Hiilijalanjälki (1&amp;2) vastaa…</t>
  </si>
  <si>
    <t>Bensiini- tai dieselautolla ajettuja kilometrejä</t>
  </si>
  <si>
    <t>km</t>
  </si>
  <si>
    <t>Keskimääräisen suomalaisen hiilijalanjälkeä</t>
  </si>
  <si>
    <t>hlö</t>
  </si>
  <si>
    <t>Keskimääräisen suomalaisen metsän vuodessa sitomaa hiiltä</t>
  </si>
  <si>
    <t>ha</t>
  </si>
  <si>
    <t>Suomalaisten hiilijalanjälki on keskimäärin 10300 kg (Lähde: Sitra, 2021) Metsän hiilensidonta ha kohti vaihtelee mm. metsän sijainnista, metsätyypistä ja kehitysvaiheesta riippuen. Hiilensidonta keskimäärin on n. 3500-4500 kg CO2ekv vuodessa. Esim. UEF:n Metsätalouden suunnittelun professori Timo Pukkala on arvioinut sidonnan olevan keskimäärin 3700 kg/ha, tätä arviota on käytetty em. laskurissa.</t>
  </si>
  <si>
    <t>Alla oleva kaaviokuva muodostuu välilehdelle C syötettyjen tietojen perusteella</t>
  </si>
  <si>
    <t xml:space="preserve">Päästökertoimet Scope 1 </t>
  </si>
  <si>
    <t>Polttoaineet</t>
  </si>
  <si>
    <r>
      <t>CO</t>
    </r>
    <r>
      <rPr>
        <b/>
        <vertAlign val="subscript"/>
        <sz val="11"/>
        <color theme="1"/>
        <rFont val="Calibri"/>
        <family val="2"/>
      </rPr>
      <t>2</t>
    </r>
  </si>
  <si>
    <t>Lähde</t>
  </si>
  <si>
    <t>Päivitetty</t>
  </si>
  <si>
    <t xml:space="preserve">kevyt polttoöljy, vähärikkinen </t>
  </si>
  <si>
    <t>kg/l</t>
  </si>
  <si>
    <t>Tilastokeskus; polttoaineluokitus 2025</t>
  </si>
  <si>
    <t>2.10.2025</t>
  </si>
  <si>
    <t>dieselöljy</t>
  </si>
  <si>
    <r>
      <rPr>
        <sz val="11"/>
        <color rgb="FF0070C0"/>
        <rFont val="Aptos Narrow"/>
      </rPr>
      <t>Tilastokeskus; polttoaineluokitus 2025</t>
    </r>
    <r>
      <rPr>
        <sz val="11"/>
        <color rgb="FF242424"/>
        <rFont val="Aptos Narrow"/>
      </rPr>
      <t xml:space="preserve"> </t>
    </r>
  </si>
  <si>
    <t xml:space="preserve">moottoribensiini </t>
  </si>
  <si>
    <t>uusiutuva kevyt polttoöljy</t>
  </si>
  <si>
    <t>Neste MY, 2022</t>
  </si>
  <si>
    <t>uusiutuva diesel</t>
  </si>
  <si>
    <t>Tilastokeskus, 2021</t>
  </si>
  <si>
    <t>nestetytetty maakaasu (LNG)</t>
  </si>
  <si>
    <t>kg/kg</t>
  </si>
  <si>
    <t>nestekaasu (LPG)</t>
  </si>
  <si>
    <t>nestekaasu, propaani</t>
  </si>
  <si>
    <t>Puupohjainen polttoaine, esim. hake (i-m3)</t>
  </si>
  <si>
    <r>
      <t>kg/m</t>
    </r>
    <r>
      <rPr>
        <vertAlign val="superscript"/>
        <sz val="11"/>
        <color theme="1"/>
        <rFont val="Calibri"/>
        <family val="2"/>
      </rPr>
      <t>3</t>
    </r>
  </si>
  <si>
    <t>Päästökertoimet Scope 2</t>
  </si>
  <si>
    <t>Sähköenergia</t>
  </si>
  <si>
    <r>
      <t>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ekv</t>
    </r>
  </si>
  <si>
    <t>Suomen sähköntuotannon keskimääräinen päästökerroin (3 viim. vuoden ka energiamenetelmällä)</t>
  </si>
  <si>
    <t>kg/MWh</t>
  </si>
  <si>
    <t>Tilastokeskus, Energia 2024</t>
  </si>
  <si>
    <t>Kaukolämpö, Suomen keskimääräinen päästökerroin (3 viim. vuoden ka energiamenetelmällä)</t>
  </si>
  <si>
    <t>Tampereen energian myymä kaukojäähdytys</t>
  </si>
  <si>
    <t>Tampereen Energia, OpenCO2.net  2025</t>
  </si>
  <si>
    <t>Epäsuorien päästöjen kulutustiedot</t>
  </si>
  <si>
    <t xml:space="preserve">Tälle sivulle syötetään tiedot, joiden avulla voidaan arvioida epäsuoria kasvihuonekaasupäästöjä eli scope 3 päästöjä. Scope 3 sisältää mm. materiaalien, tavaroiden ja </t>
  </si>
  <si>
    <t xml:space="preserve">palveluiden hankinnasta syntyneet päästöt. Scope 3:een kuuluu Greenhouse Gas - protokollassa 15 eri kategoriaa, mutta tähän laskuriin on sisällytetty vain ne kategoriat, joiden on arvioitu </t>
  </si>
  <si>
    <t xml:space="preserve">olevan merkittäviä  ja joille on löydetty päästökertoimet. Scope 3:n päästöjen tarkastelussa on tehtävä rajauksia, mitä tietoja siihen sisällytetään. </t>
  </si>
  <si>
    <t xml:space="preserve">Rajaukseen vaikuttaa mm. se, mitä lähtötietoja tai päästökertoimia on saatavilla sekä mitkä ovat konepajan toiminnan kannalta merkittäviä päästölähteitä. </t>
  </si>
  <si>
    <t xml:space="preserve">Täytä laskentataulukkoon kulutustiedot pyydetyssä muodossa niiden kategorioiden osalta, jotka on tarpeellista laskea. Laskentataulukon alapuolella löytyvät laskennassa </t>
  </si>
  <si>
    <t xml:space="preserve">käytetyt päästökertoimet sekä niiden lähteet. Seuraavalle välilehdelle rakentuu yhteenvetotaulukko ja kuvaaja tämän osion eli scope 3:n tuloksista. </t>
  </si>
  <si>
    <t xml:space="preserve">Mikäli tiedossa on tarkat, tuote- tai palvelukohtaiset päästökertoimet esimerkiski tavarantoimittajalta, käytä niitä taulukossa esimerkkikertoimien sijaan. </t>
  </si>
  <si>
    <t>Scope 3 Päästöt</t>
  </si>
  <si>
    <t>Kategoria</t>
  </si>
  <si>
    <t>Päästökerroin</t>
  </si>
  <si>
    <r>
      <t>Hiilijalanjälki kgCO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ekv</t>
    </r>
  </si>
  <si>
    <t>Mistä tieto on saatu? Onko tarkka tieto vai arvio?</t>
  </si>
  <si>
    <t>Huomioita</t>
  </si>
  <si>
    <t>Materiaalihankinnat</t>
  </si>
  <si>
    <t>Teräs, keskimääräinen päästökerroin (t)</t>
  </si>
  <si>
    <t>kgCO₂/t</t>
  </si>
  <si>
    <t>Sahatavara</t>
  </si>
  <si>
    <t>Höylätavara</t>
  </si>
  <si>
    <t>CLT</t>
  </si>
  <si>
    <t>LVL, pilari, palkki ja seinärakenteet</t>
  </si>
  <si>
    <t>GLT</t>
  </si>
  <si>
    <t>Vaneri, pinnoittamaton koivuvaneri</t>
  </si>
  <si>
    <t>Vaneri, pinnoitettu koivuvaneri</t>
  </si>
  <si>
    <t>Vaneri, pinnoittamaton havuvaneri</t>
  </si>
  <si>
    <t>Lastulevy</t>
  </si>
  <si>
    <t>Melamiinilastulevy</t>
  </si>
  <si>
    <t>Mdf, kuitulevy</t>
  </si>
  <si>
    <t>Mdf, kuitulevy melamiinipinnoitettu</t>
  </si>
  <si>
    <t>Tukkipuu</t>
  </si>
  <si>
    <t>kgCO₂/m3</t>
  </si>
  <si>
    <t>Arvio, ei epd:tä koska ei lopputuote</t>
  </si>
  <si>
    <t>A1 vaihe, ilman kuljetusta ja kuivausta</t>
  </si>
  <si>
    <t>Alumiini (t)</t>
  </si>
  <si>
    <t>Puuhankinnat yhteensä:</t>
  </si>
  <si>
    <t>Lakat</t>
  </si>
  <si>
    <t>kgCO₂/kg</t>
  </si>
  <si>
    <t>Maalit</t>
  </si>
  <si>
    <t>Ohenteet</t>
  </si>
  <si>
    <t>kg/Mm3 CO2ekv</t>
  </si>
  <si>
    <t>Liimat</t>
  </si>
  <si>
    <t>Melamiinipinnoitteet</t>
  </si>
  <si>
    <t>Laminaatti</t>
  </si>
  <si>
    <t>Reunanauhat</t>
  </si>
  <si>
    <t>Metallihelat</t>
  </si>
  <si>
    <t>Muovihelat</t>
  </si>
  <si>
    <t>Lasi</t>
  </si>
  <si>
    <r>
      <t>Vesi (m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)</t>
    </r>
  </si>
  <si>
    <r>
      <t>kgCO₂/m</t>
    </r>
    <r>
      <rPr>
        <vertAlign val="superscript"/>
        <sz val="11"/>
        <color theme="1"/>
        <rFont val="Calibri"/>
        <family val="2"/>
      </rPr>
      <t>3</t>
    </r>
  </si>
  <si>
    <t>Muut materiaalit yhteensä:</t>
  </si>
  <si>
    <t>Rahti, kuljetukset (ilmoita joko tkm tai euroina)</t>
  </si>
  <si>
    <t>Hankitut rahdit, maantiekuljetukset, tonnikilometreinä (tkm)</t>
  </si>
  <si>
    <t>kgCO₂/tkm</t>
  </si>
  <si>
    <t>Hankitut rahdit, oman rahtitoimittajan päästökerroin</t>
  </si>
  <si>
    <t>kgCO₂/€</t>
  </si>
  <si>
    <t>Lentorahti, lyhyet ulkomaan lentorahdit (tkm)</t>
  </si>
  <si>
    <t>Lentorahti, pitkät ulkomaan lentorahdit (tkm)</t>
  </si>
  <si>
    <t>Rahti yhteensä:</t>
  </si>
  <si>
    <r>
      <t xml:space="preserve">Jätteet </t>
    </r>
    <r>
      <rPr>
        <b/>
        <i/>
        <sz val="11"/>
        <color theme="1"/>
        <rFont val="Calibri"/>
        <family val="2"/>
      </rPr>
      <t>(HUOM. Ilmoita määrät tonneina, ei kiloina)</t>
    </r>
  </si>
  <si>
    <t>Metallijäte</t>
  </si>
  <si>
    <t>Pahvi, kartonki</t>
  </si>
  <si>
    <t>Toimisto- ja keräyspaperi, ml. Tietosuojapaperit</t>
  </si>
  <si>
    <t>Muovi, materiaalikierrätykseen</t>
  </si>
  <si>
    <t>Sekajäte, yhdyskuntajäte</t>
  </si>
  <si>
    <t>Puujäte</t>
  </si>
  <si>
    <t>Biojäte</t>
  </si>
  <si>
    <r>
      <t xml:space="preserve">Vaarallinen jäte </t>
    </r>
    <r>
      <rPr>
        <i/>
        <sz val="11"/>
        <rFont val="Calibri"/>
        <family val="2"/>
      </rPr>
      <t>(Merkitse tähän kaikki vaaraominaisuuksia sisältävien jätteiden yhteenlaskettu määrä)</t>
    </r>
  </si>
  <si>
    <t>Muu jäte</t>
  </si>
  <si>
    <r>
      <t>Palveluntarjoajalta saatu koko yrityksen jätehuollon hiilijalanjälki 
(HUOM. Yksikkönä kgCO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>ekv)</t>
    </r>
  </si>
  <si>
    <t>Jätteet yhteensä:</t>
  </si>
  <si>
    <t>Työhön liittyvä matkustaminen</t>
  </si>
  <si>
    <t>Henkilöstölle korvatut omalla autolla tehdyt matkat eli maksetut kilometrikorvaukset</t>
  </si>
  <si>
    <t>kgCO₂/km</t>
  </si>
  <si>
    <t>Lentoliikenne, lyhyet lennot alle 463 km (hkm, henkilökilometriä)</t>
  </si>
  <si>
    <t>kgCO₂/hkm</t>
  </si>
  <si>
    <t>Lentoliikenne, keskipitkät lennot 463-3700 km (hkm)</t>
  </si>
  <si>
    <t>Lentoliikenne, pitkät lennot yli 3700 km (hkm)</t>
  </si>
  <si>
    <t>Työhön liittyvä matkustaminen yhteensä:</t>
  </si>
  <si>
    <t>Henkilökunnan työmatkat (kodin ja työpaikan välillä)</t>
  </si>
  <si>
    <t>Työntekijät, jotka kulkevat työmatkan autolla (bensa tai diesel) (hlö)</t>
  </si>
  <si>
    <t>Keskimääräinen työmatkan pituus (yksisuuntainen)</t>
  </si>
  <si>
    <t>Lähityöpäivien määrä vuodessa</t>
  </si>
  <si>
    <t>Työmatkat yhteensä</t>
  </si>
  <si>
    <t>Sähköntuotannon epäsuorat päästöt</t>
  </si>
  <si>
    <t>Oma aurinkoenergiantuotanto</t>
  </si>
  <si>
    <t>kgCO₂/MWh</t>
  </si>
  <si>
    <t>Ostosähkön tuotannosta aiheutuvat epäsuorat päästöt</t>
  </si>
  <si>
    <t>Sähköntuotannon epäsuorat päästöt yhteensä</t>
  </si>
  <si>
    <t>Polttoaineiden valmistuksen epäsuorat päästöt (*</t>
  </si>
  <si>
    <t>l/a</t>
  </si>
  <si>
    <t>kgCO₂/l</t>
  </si>
  <si>
    <t>Uusiutuva kevyt polttoöljy</t>
  </si>
  <si>
    <t>Polttoaineiden valmistuksen epäsuorat päästöt yhteensä</t>
  </si>
  <si>
    <t>SCOPE 3 Päästöt yhteensä</t>
  </si>
  <si>
    <t>kgCO₂</t>
  </si>
  <si>
    <t>*) Puupohjaisten polttoaineiden scope 3 päästöt puuttuvat taulukosta, koska niille ei ole saatu riittävän luotettavaa ja vertailukelpoista päästökerrointa.</t>
  </si>
  <si>
    <t xml:space="preserve">Päästökertoimet Scope 3 </t>
  </si>
  <si>
    <t>Kevyt polttoöljy, vähärikkinen</t>
  </si>
  <si>
    <t xml:space="preserve">Vaski TP 7 (S3-023 SFS-EN 16258 (2014)) </t>
  </si>
  <si>
    <t>SFS-EN 14083 (2023) uusin voimassa oleva standardi</t>
  </si>
  <si>
    <t xml:space="preserve">Dieselöljy </t>
  </si>
  <si>
    <t>Vaski TP 7</t>
  </si>
  <si>
    <t xml:space="preserve">Bensiini </t>
  </si>
  <si>
    <t>Uusiutuva kevyt polttoöljy (HVO)</t>
  </si>
  <si>
    <t>Neste 2022</t>
  </si>
  <si>
    <t xml:space="preserve">Nesteytetty maakaasu (LNG) </t>
  </si>
  <si>
    <t>Nestekaasu, propaani</t>
  </si>
  <si>
    <t>Energiantuotannon epäsuorat päästöt</t>
  </si>
  <si>
    <t xml:space="preserve">Ostosähkön tuotannosta aiheutuvat epäsuorat päästöt (Suomi, keskimäärin) </t>
  </si>
  <si>
    <t>Fingrid, tilastovuosi 2024</t>
  </si>
  <si>
    <t xml:space="preserve">Oma aurinkoenergiantuotanto </t>
  </si>
  <si>
    <t xml:space="preserve">Arvio,  tarkempi arvo toimittajalta </t>
  </si>
  <si>
    <t>IPCC 2014 aiempi lähde</t>
  </si>
  <si>
    <t>Materiaalit</t>
  </si>
  <si>
    <t>Keskimääräinen arvo, teräs</t>
  </si>
  <si>
    <t>kgCO₂eq/t</t>
  </si>
  <si>
    <t>Keskimääräinen arvo, Ruukki 2021</t>
  </si>
  <si>
    <t>co2data.fi</t>
  </si>
  <si>
    <t>Talonrakentamisen päästötietokanta</t>
  </si>
  <si>
    <t>Alumiini Al</t>
  </si>
  <si>
    <t>LCA of Metals (P.Nuss &amp; M.J. Eckelman) 2014</t>
  </si>
  <si>
    <t>Jauhemaali, keskimääräinen päästökerroin (kg)</t>
  </si>
  <si>
    <t>Taustalla Teknoksen toimittamat EPD-dokumentit jauhemaaleista 2021</t>
  </si>
  <si>
    <t>Hitsauslanka (kg)</t>
  </si>
  <si>
    <t>Teräslanka, CO2data.fi</t>
  </si>
  <si>
    <t>Hitsauslanka, Bohler 309LSi ja 316LSi (kg)</t>
  </si>
  <si>
    <t>Bohler</t>
  </si>
  <si>
    <t>Hitsauksen suojakaasu (Mison 2He)</t>
  </si>
  <si>
    <t>Linde, 2023</t>
  </si>
  <si>
    <t>Hitsauksen suojakaasu (Mison 2)</t>
  </si>
  <si>
    <t>Liikenne ja logistiikka</t>
  </si>
  <si>
    <t xml:space="preserve">Lähde </t>
  </si>
  <si>
    <t>Lentorahti, lyhyet ulkomaan lentorahdit (&lt;2000 km) kuormituskerroin 3,16</t>
  </si>
  <si>
    <t>kg/tkm</t>
  </si>
  <si>
    <t>ICAO Carbon Emissions Calculator Methodology Air Freighter V1 September 2023</t>
  </si>
  <si>
    <t>Lentorahti, pitkät ulkomaan lentorahdit</t>
  </si>
  <si>
    <t>Jakelukuorma-auto (6/3.5 t) 80% maantieajo</t>
  </si>
  <si>
    <t xml:space="preserve">kg/tkm </t>
  </si>
  <si>
    <t>Infrarakentamisen päästötietokanta CO2Data.fi (2/2024)</t>
  </si>
  <si>
    <t>Jakelukuorma-auto (15/9 t) 80% maantieajo</t>
  </si>
  <si>
    <t>Puoliperävaunuyhdistelmät (40/25 t) 80% maantieajo</t>
  </si>
  <si>
    <t>Perävaunullinen yhdistelmä (60/40 t) 80% maantieajo</t>
  </si>
  <si>
    <r>
      <rPr>
        <sz val="11"/>
        <color rgb="FF000000"/>
        <rFont val="Calibri"/>
        <family val="2"/>
      </rPr>
      <t>Liikennekäytössä olevien henkilöautojen keskimääräinen 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-päästö vuoden 2022 lopussa (vaihtoehtoiset käyttövoimat huomioitu)</t>
    </r>
  </si>
  <si>
    <t>kg/km</t>
  </si>
  <si>
    <t>Traficom, 2023</t>
  </si>
  <si>
    <t>Lennot</t>
  </si>
  <si>
    <t>Kotimaa, lyhyet  &lt; 400 km</t>
  </si>
  <si>
    <t>Finnair, Päästöhyvityslaskuri 2022</t>
  </si>
  <si>
    <t>Laskelmat perustuvat Finnairin reittilentojen todelliseen polttoaineenkulutukseen. Polttoaineenkulutus on 12 kuukauden keskiarvo, joka on jaettu matkustajien ja rahdin kesken ICAO:n jakomenetelmien mukaisesti. Laskelman tuloksena on hiilidioksidipäästöt, joissa vain suorat päästöt on huomioitu.</t>
  </si>
  <si>
    <t xml:space="preserve">Kotimaa, pitkät 400 &lt; 1000 km </t>
  </si>
  <si>
    <t>Eurooppaan, n. 2000 km</t>
  </si>
  <si>
    <t>Pitkät lennot, &gt;  5000  km</t>
  </si>
  <si>
    <t xml:space="preserve">Vesi </t>
  </si>
  <si>
    <t>kg/m3</t>
  </si>
  <si>
    <t>Jätteet</t>
  </si>
  <si>
    <t>Sekajäte</t>
  </si>
  <si>
    <t>HSY (Helsingin seudun ympäristöpalvelut) 2019</t>
  </si>
  <si>
    <t>Metalliromu</t>
  </si>
  <si>
    <t>Biojäte, kaasutettava</t>
  </si>
  <si>
    <t>Biojäte, kompostoitava</t>
  </si>
  <si>
    <t>Vaarallinen jäte</t>
  </si>
  <si>
    <t>Pahvi/kartonki</t>
  </si>
  <si>
    <t>Toimistopaperi</t>
  </si>
  <si>
    <t>Yhteenveto hiilijalanjälki scope 3</t>
  </si>
  <si>
    <t xml:space="preserve"> </t>
  </si>
  <si>
    <t>Tällä sivulla voit tarkastella konepajan epäsuorien päästöjen (Scope 3) jakautumista ja kokonaismääriä. Tälle sivulle tietoja ei syötetä itse, vaan ne lasketaan</t>
  </si>
  <si>
    <t>automaattisesti edelliselle välilehdelle syötettyjen kulutustietojen ja päästökertoimien perusteella. Teräksen osuus muodostaa yleensä valtaosan</t>
  </si>
  <si>
    <t xml:space="preserve">konepajan scope 3 päästöistä, joten kuvaajassa on toisessa piirakkakuviossa avattu tarkemmin näiden muiden päästöjen osuutta. </t>
  </si>
  <si>
    <t>Scope 3</t>
  </si>
  <si>
    <r>
      <t>kgCO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ekv</t>
    </r>
  </si>
  <si>
    <t>% päästöistä</t>
  </si>
  <si>
    <t>Puuhankinnat</t>
  </si>
  <si>
    <t>Muut materiaalihankinnat</t>
  </si>
  <si>
    <t>Rahti</t>
  </si>
  <si>
    <t>Henkilökunnan työmatkat</t>
  </si>
  <si>
    <t>Polttoaineiden valmistuksen epäsuorat päästöt</t>
  </si>
  <si>
    <t>Scope 3 päästöt yhteensä (kg)</t>
  </si>
  <si>
    <t>Scope 3 päästöt yhteensä (tCO2ekv)</t>
  </si>
  <si>
    <t>Alla oleva kaaviokuva muodostuu välilehdelle E syötettyjen tietojen perusteella</t>
  </si>
  <si>
    <t xml:space="preserve">Päästövähennykset </t>
  </si>
  <si>
    <t xml:space="preserve">Tällä sivulla voit tarkastella konepajan hiilijalanjälkeä pienentävien toimien vaikutuksia. </t>
  </si>
  <si>
    <t>Esimerkkinä päästövähennyskeinoista ovat oma aurinkosähkön tuotanto, kun sillä korvataan osittain fossiilisilla tuotettua ostosähköä</t>
  </si>
  <si>
    <t xml:space="preserve">sekä työntekijöiden kannustaminen kulkemaan työmatkoja polkupyörällä auton sijasta. Täytä keltaisiin soluihin pyydetyt tiedot. </t>
  </si>
  <si>
    <t xml:space="preserve">Jos yrityksellä on omaa aurinkosähköntuotantoa, tässä voitte tarkastella sen tuomia scope 2 päästövähennyksiä vuositasolla. </t>
  </si>
  <si>
    <t xml:space="preserve">Aurinkosähkön tuotannosta aiheutuu kuitenkin epäsuoria kasvihuonekaasupäästöjä mm. aurinkopaneelien valmistuksesta. </t>
  </si>
  <si>
    <t>Nämä päästöt lasketaan automaattisesti scope 3 khk-päästöihin ao. taulukkoon syötetyn tuotantotiedon perusteella.</t>
  </si>
  <si>
    <t>Sähköntuotanto</t>
  </si>
  <si>
    <t>Tuotanto MWh/a</t>
  </si>
  <si>
    <t>Säästetty ostoenergiamäärä MWh/a</t>
  </si>
  <si>
    <t>Scope 2 päästövähennys kgCO₂ekv/a</t>
  </si>
  <si>
    <t xml:space="preserve">Mistä tieto on saatu? </t>
  </si>
  <si>
    <t>Oman järjestelmän aurinkosähkötuotanto</t>
  </si>
  <si>
    <t>Lämmöntuotanto</t>
  </si>
  <si>
    <t>Sivuvirtojen hyödyntäminen</t>
  </si>
  <si>
    <t xml:space="preserve">Jos yritys tukee henkilöstön työmatkapyöräilyä, tässä voitte tarkastella sen tuomia scope 3 päästövähennyksiä vuositasolla. </t>
  </si>
  <si>
    <t>Päästövähennys on laskettu olettaen, että pyöräily korvaa työmatkan ajamisen bensiini- tai dieselkäyttöisellä autolla (1hlö/auto)</t>
  </si>
  <si>
    <t>Pyöräillyt työmatkat (km)</t>
  </si>
  <si>
    <t>km/a</t>
  </si>
  <si>
    <t>Pyöräilyllä korvatut ajokilometrit</t>
  </si>
  <si>
    <t>Scope 3 päästövähennys kgCO₂ekv</t>
  </si>
  <si>
    <t>Mistä tieto on saatu?</t>
  </si>
  <si>
    <t>Henkilöstön polkupyörällä ajetut työmatkat (km)</t>
  </si>
  <si>
    <t>Metallien hukkaosuus</t>
  </si>
  <si>
    <t xml:space="preserve">Teräksen valmistus muodostaa huomattavan suuren osan konepajateollisuuden ilmasto- ja muista ympäristöavikutuksista. </t>
  </si>
  <si>
    <t>Siten metallikeräykseen päätyvä hukkaosuus on konepajoille olennainen ympäristövaikutusten mittari.</t>
  </si>
  <si>
    <t xml:space="preserve">Musta teräs </t>
  </si>
  <si>
    <t>t/a</t>
  </si>
  <si>
    <t>Hankintamäärä t/a</t>
  </si>
  <si>
    <t>Varastomuutos (jos varastolisäystä + jos vähennystä -) t/a</t>
  </si>
  <si>
    <t>Käytetty musta teräs yhteensä (t/a)</t>
  </si>
  <si>
    <t>Romumetalliksi, keräykseen päätynyt musta teräs yhteensä (t/a)</t>
  </si>
  <si>
    <t>Materiaalihukka, musta teräs (%)</t>
  </si>
  <si>
    <t xml:space="preserve">Kirkas teräs </t>
  </si>
  <si>
    <t>Käytetty kirkas teräs yhteensä (t/a)</t>
  </si>
  <si>
    <t>Romumetalliksi, keräykseen päätynyt kirkas teräs yhteensä (t/a)</t>
  </si>
  <si>
    <t>Materiaalihukka, kirkas teräs (%)</t>
  </si>
  <si>
    <t>Muut metallit</t>
  </si>
  <si>
    <t>Käytetty muu metalli yhteensä (t/a)</t>
  </si>
  <si>
    <t>Romumetalliksi, keräykseen päätynyt muu metalli yhteensä (t/a)</t>
  </si>
  <si>
    <t>Mikäli käytettävissäsi ei ole tietoa eri teräslaatujen metallikeräykseen päätyvistä määristä, voit laskea yhden yhteisen hukkaosuuden alla olevan taulukon avuilla.</t>
  </si>
  <si>
    <t>Metallihankinnat (kaikki metallit yhteensä)</t>
  </si>
  <si>
    <t>Kirkas teräs</t>
  </si>
  <si>
    <t xml:space="preserve">Muut metallit </t>
  </si>
  <si>
    <t>Metallihankinnat yhteensä (t/a)</t>
  </si>
  <si>
    <t>Käytetty metalli yhteensä (t/a)</t>
  </si>
  <si>
    <t>Romumetalliksi, keräykseen päätynyt metalli yhteensä (t/a)</t>
  </si>
  <si>
    <t>Materiaalihukka, kaikki metallit (%)</t>
  </si>
  <si>
    <t xml:space="preserve">VOC-päästöt (liuottimien käyttömäärät) </t>
  </si>
  <si>
    <t>Usein tiedon VOC-päästöistä voi saada suoraan tavarantoimittajalta. Mutta mikäli tieto ei ole saatavissa, voit laskea päästöt itse ao. taulukon avulla.</t>
  </si>
  <si>
    <t xml:space="preserve">Täytä keltaisiin laatikoihin pyydetyt tiedot. Aineiden tuoteselosteista löytyy sekä VOC-pitoisuudet että kiintoainepitoisuus. </t>
  </si>
  <si>
    <t>VOC-päästöjen laskenta</t>
  </si>
  <si>
    <t xml:space="preserve">VOC-pitoisuus on ilmoitettu aineiden tuoteselosteessa. </t>
  </si>
  <si>
    <t xml:space="preserve">Kiintoainepitoisuus on ilmoitettu maalin tuoteselosteessa. </t>
  </si>
  <si>
    <t>Käytettyjen liuottimien kokonaismäärät vuositasolla</t>
  </si>
  <si>
    <t>VOC-pitoisuus g/l</t>
  </si>
  <si>
    <t>Kiintoainepitoisuus g/l</t>
  </si>
  <si>
    <t>Kiintoainemäärä kg/a (KA)</t>
  </si>
  <si>
    <t>VOC-päästöt kg/a</t>
  </si>
  <si>
    <t>Pintamaalia</t>
  </si>
  <si>
    <t>Pohjamaalia</t>
  </si>
  <si>
    <t>Ohenteita</t>
  </si>
  <si>
    <t>Liuotinpesuaineita esim. ruiskun pesuun</t>
  </si>
  <si>
    <t>Jätteiden lajitteluaste</t>
  </si>
  <si>
    <t xml:space="preserve">Jätehuollon palveluntarjoajalta on usein saatavissa mittaritietoa lajittelusta, esim. lajittelu-, kierrätys- ja/tai hyötykäyttöaste. </t>
  </si>
  <si>
    <t>Mikäli em. tietoja ei ole saatavissa, alla olevan taulukon avulla voit laskea yrityksesi lajitteluasteen.</t>
  </si>
  <si>
    <t xml:space="preserve">Mikäli jätemäärätietoja ei ole saatavissa painomittoina vaan tiedossa on vain jäteastioiden koot ja tyhjennyskerrat, voit laskea </t>
  </si>
  <si>
    <t>jätemäärät seuraavalla välilehdellä (K) olevan laskentataulukon avulla.</t>
  </si>
  <si>
    <t>Lajitellut hyötyjätteet jakeittain</t>
  </si>
  <si>
    <t>Jätehuollosta vastaava palveluntarjoaja</t>
  </si>
  <si>
    <t>Romumetalli, kirkas teräs</t>
  </si>
  <si>
    <t>Romumetalli, musta teräs</t>
  </si>
  <si>
    <t>Romumetalli, alumiini</t>
  </si>
  <si>
    <t>Pahvijäte</t>
  </si>
  <si>
    <t>Toimisto- ja keräyspaperi</t>
  </si>
  <si>
    <t>Tietosuojapaperi</t>
  </si>
  <si>
    <t>Muut lajitellut jätejakeet</t>
  </si>
  <si>
    <t>Lajiteltu hyötyjäte yhteensä</t>
  </si>
  <si>
    <t>Vaaralliset jätteet</t>
  </si>
  <si>
    <t>Aerosolit</t>
  </si>
  <si>
    <t>Maalit, lakat, liimat, liuottimet</t>
  </si>
  <si>
    <t>Hapot, emäkset ja vanhentuneet kemikaalit</t>
  </si>
  <si>
    <t>Jäteöljyt</t>
  </si>
  <si>
    <t>Kiinteät öljyiset jätteet</t>
  </si>
  <si>
    <t xml:space="preserve">Öljyn- ja hiekanerotuskaivojen liete </t>
  </si>
  <si>
    <t>SER</t>
  </si>
  <si>
    <t>Muut vaaralliset jätteet</t>
  </si>
  <si>
    <t>Vaaralliset jätteet yhteensä</t>
  </si>
  <si>
    <t>Muut jätejakeet</t>
  </si>
  <si>
    <t>Lajittelematon teollisuusjäte</t>
  </si>
  <si>
    <t>Lajittelematon jäte yhteensä</t>
  </si>
  <si>
    <t>Jätemäärä yhteensä</t>
  </si>
  <si>
    <t>Lajitteluaste %</t>
  </si>
  <si>
    <t>Jätemäärien muuntotaulukko</t>
  </si>
  <si>
    <t>Mikäli yrityksen jätemääristä ei ole saatavilla määrätietoja painomittoina (kg/t), mutta tiedossa on keräysastioiden tyhjennyskerrat, alla olevan laskurin</t>
  </si>
  <si>
    <t>avulla voidaan muuntaa tilavuudet painoksi. Lisää tyhjennyskerrat sarakkeeseen kyseisen astiakoon tyhjennysmäärät yhteensä vuoden aikana.</t>
  </si>
  <si>
    <t>Esim. jos yrityksellä on kolme 140 l keräysastiaa toimistopaperille ja ne kaikki tyhjennetään vuodessa 12 kertaa on tyhjennyskertoja vuodessa 3 x 12 = 36</t>
  </si>
  <si>
    <t xml:space="preserve">Jätejakeiden tilavuuspainokertoimet, lähde: YLVA Jäteraportoinnin kehittämisryhmä, 2020. </t>
  </si>
  <si>
    <t>Tilavuuspainokertoimet perustuvat keskimääräisiin täyttöasteisiin.</t>
  </si>
  <si>
    <t>Jätejae</t>
  </si>
  <si>
    <t>Jäteastian koko</t>
  </si>
  <si>
    <t>Tyhjennyskertoja/a</t>
  </si>
  <si>
    <t>Painokerroin (t)</t>
  </si>
  <si>
    <t>Yhteensä (t)</t>
  </si>
  <si>
    <t>200-290 litraa</t>
  </si>
  <si>
    <t>600-690 litraa</t>
  </si>
  <si>
    <t>2m3 etu- tai pikakontti</t>
  </si>
  <si>
    <t>4m3 etu- tai pikakontti</t>
  </si>
  <si>
    <t>6m3 etu- tai pikakontti</t>
  </si>
  <si>
    <t>8m3 etu- tai pikakontti</t>
  </si>
  <si>
    <t>Lavakuormat teollisuudesta (m3)</t>
  </si>
  <si>
    <t>Sekajäte yhteensä</t>
  </si>
  <si>
    <t>Valkoinen  toimistopaperi</t>
  </si>
  <si>
    <t>140 litraa</t>
  </si>
  <si>
    <t>240 litraa</t>
  </si>
  <si>
    <t>660 litraa</t>
  </si>
  <si>
    <t>Paperi, lehdet ja mainokset</t>
  </si>
  <si>
    <t xml:space="preserve">120 litraa </t>
  </si>
  <si>
    <t>370 litraa</t>
  </si>
  <si>
    <t>Paperi yhteensä</t>
  </si>
  <si>
    <t>Pahvi</t>
  </si>
  <si>
    <t>Rullakko (täysi)</t>
  </si>
  <si>
    <r>
      <t>Puristettu pahvi m</t>
    </r>
    <r>
      <rPr>
        <vertAlign val="superscript"/>
        <sz val="11"/>
        <color theme="1"/>
        <rFont val="Calibri"/>
        <family val="2"/>
      </rPr>
      <t>3</t>
    </r>
  </si>
  <si>
    <t>Pahvi yhteensä</t>
  </si>
  <si>
    <t>Biojäte yhteensä</t>
  </si>
  <si>
    <t>Puu, pakkausjäte</t>
  </si>
  <si>
    <t>Kuormalava, kpl</t>
  </si>
  <si>
    <t>Puu yhteensä</t>
  </si>
  <si>
    <t>Rauta- ja teräsromu</t>
  </si>
  <si>
    <t xml:space="preserve">Lasi </t>
  </si>
  <si>
    <t>Muovipakkausjäte, puristettu</t>
  </si>
  <si>
    <t>Muovipakkausjäte, puristamaton</t>
  </si>
  <si>
    <t>Muovi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</si>
</sst>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\ %"/>
    <numFmt numFmtId="167" formatCode="#,##0.0"/>
    <numFmt numFmtId="168" formatCode="0.0000"/>
  </numFmts>
  <fonts count="62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8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sz val="11"/>
      <color rgb="FF6C757D"/>
      <name val="Calibri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rgb="FF444444"/>
      <name val="Calibri"/>
      <family val="2"/>
    </font>
    <font>
      <vertAlign val="subscript"/>
      <sz val="11"/>
      <color theme="1"/>
      <name val="Calibri"/>
      <family val="2"/>
    </font>
    <font>
      <sz val="1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rgb="FF444444"/>
      <name val="Calibri"/>
      <family val="2"/>
    </font>
    <font>
      <i/>
      <sz val="11"/>
      <name val="Calibri"/>
      <family val="2"/>
    </font>
    <font>
      <sz val="14"/>
      <color rgb="FFFF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vertAlign val="subscript"/>
      <sz val="12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sz val="9"/>
      <color theme="1"/>
      <name val="Calibri"/>
      <family val="2"/>
    </font>
    <font>
      <b/>
      <sz val="11"/>
      <name val="Calibri"/>
      <family val="2"/>
    </font>
    <font>
      <b/>
      <vertAlign val="subscript"/>
      <sz val="11"/>
      <color theme="1"/>
      <name val="Calibri"/>
      <family val="2"/>
    </font>
    <font>
      <vertAlign val="superscript"/>
      <sz val="11"/>
      <name val="Calibri"/>
      <family val="2"/>
    </font>
    <font>
      <sz val="10"/>
      <name val="Calibri"/>
      <family val="2"/>
    </font>
    <font>
      <vertAlign val="subscript"/>
      <sz val="11"/>
      <name val="Calibri"/>
      <family val="2"/>
    </font>
    <font>
      <vertAlign val="superscript"/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  <font>
      <i/>
      <sz val="12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2"/>
      <color rgb="FF444444"/>
      <name val="Calibri"/>
      <family val="2"/>
    </font>
    <font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theme="1"/>
      <name val="Calibri"/>
      <family val="2"/>
    </font>
    <font>
      <sz val="18"/>
      <color theme="1"/>
      <name val="Calibri"/>
      <family val="2"/>
    </font>
    <font>
      <b/>
      <sz val="12"/>
      <name val="Calibri"/>
      <family val="2"/>
    </font>
    <font>
      <b/>
      <i/>
      <sz val="10"/>
      <color theme="1"/>
      <name val="Calibri"/>
      <family val="2"/>
    </font>
    <font>
      <sz val="8"/>
      <color rgb="FF3E4044"/>
      <name val="Open Sans"/>
      <family val="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theme="8"/>
      <name val="Calibri"/>
      <family val="2"/>
    </font>
    <font>
      <sz val="11"/>
      <color theme="8"/>
      <name val="Calibri"/>
    </font>
    <font>
      <sz val="12"/>
      <color rgb="FF0070C0"/>
      <name val="Calibri"/>
      <family val="2"/>
    </font>
    <font>
      <sz val="11"/>
      <color rgb="FF0070C0"/>
      <name val="Calibri"/>
      <family val="2"/>
    </font>
    <font>
      <sz val="11"/>
      <color rgb="FF242424"/>
      <name val="Aptos Narrow"/>
      <charset val="1"/>
    </font>
    <font>
      <sz val="11"/>
      <color rgb="FF0070C0"/>
      <name val="Aptos Narrow"/>
    </font>
    <font>
      <sz val="11"/>
      <color rgb="FF242424"/>
      <name val="Aptos Narrow"/>
    </font>
    <font>
      <sz val="11"/>
      <color rgb="FF0070C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EFE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82D7B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08">
    <xf numFmtId="0" fontId="0" fillId="0" borderId="0" xfId="0"/>
    <xf numFmtId="0" fontId="4" fillId="0" borderId="0" xfId="0" applyFont="1" applyAlignment="1">
      <alignment horizontal="left" indent="1"/>
    </xf>
    <xf numFmtId="0" fontId="5" fillId="0" borderId="0" xfId="0" applyFont="1"/>
    <xf numFmtId="0" fontId="6" fillId="0" borderId="0" xfId="0" applyFont="1"/>
    <xf numFmtId="0" fontId="7" fillId="4" borderId="42" xfId="0" applyFont="1" applyFill="1" applyBorder="1" applyAlignment="1">
      <alignment horizontal="left" vertical="center"/>
    </xf>
    <xf numFmtId="0" fontId="5" fillId="4" borderId="43" xfId="0" applyFont="1" applyFill="1" applyBorder="1"/>
    <xf numFmtId="0" fontId="5" fillId="4" borderId="40" xfId="0" applyFont="1" applyFill="1" applyBorder="1"/>
    <xf numFmtId="0" fontId="5" fillId="4" borderId="49" xfId="0" applyFont="1" applyFill="1" applyBorder="1" applyAlignment="1">
      <alignment horizontal="left" vertical="center" indent="1"/>
    </xf>
    <xf numFmtId="0" fontId="5" fillId="4" borderId="0" xfId="0" applyFont="1" applyFill="1"/>
    <xf numFmtId="0" fontId="5" fillId="4" borderId="45" xfId="0" applyFont="1" applyFill="1" applyBorder="1"/>
    <xf numFmtId="0" fontId="5" fillId="4" borderId="44" xfId="0" applyFont="1" applyFill="1" applyBorder="1" applyAlignment="1">
      <alignment horizontal="left" vertical="center" indent="1"/>
    </xf>
    <xf numFmtId="0" fontId="5" fillId="4" borderId="46" xfId="0" applyFont="1" applyFill="1" applyBorder="1" applyAlignment="1">
      <alignment horizontal="left" vertical="center" indent="1"/>
    </xf>
    <xf numFmtId="0" fontId="5" fillId="4" borderId="47" xfId="0" applyFont="1" applyFill="1" applyBorder="1"/>
    <xf numFmtId="0" fontId="5" fillId="4" borderId="48" xfId="0" applyFont="1" applyFill="1" applyBorder="1"/>
    <xf numFmtId="0" fontId="5" fillId="0" borderId="0" xfId="0" applyFont="1" applyAlignment="1">
      <alignment horizontal="left" vertical="center" indent="1"/>
    </xf>
    <xf numFmtId="0" fontId="7" fillId="6" borderId="42" xfId="0" applyFont="1" applyFill="1" applyBorder="1" applyAlignment="1">
      <alignment horizontal="left" vertical="center"/>
    </xf>
    <xf numFmtId="0" fontId="5" fillId="6" borderId="43" xfId="0" applyFont="1" applyFill="1" applyBorder="1"/>
    <xf numFmtId="0" fontId="5" fillId="6" borderId="40" xfId="0" applyFont="1" applyFill="1" applyBorder="1"/>
    <xf numFmtId="0" fontId="5" fillId="6" borderId="44" xfId="0" applyFont="1" applyFill="1" applyBorder="1" applyAlignment="1">
      <alignment horizontal="left" vertical="center" indent="1"/>
    </xf>
    <xf numFmtId="0" fontId="5" fillId="6" borderId="0" xfId="0" applyFont="1" applyFill="1"/>
    <xf numFmtId="0" fontId="5" fillId="6" borderId="45" xfId="0" applyFont="1" applyFill="1" applyBorder="1"/>
    <xf numFmtId="0" fontId="5" fillId="6" borderId="46" xfId="0" applyFont="1" applyFill="1" applyBorder="1" applyAlignment="1">
      <alignment horizontal="left" vertical="center" indent="1"/>
    </xf>
    <xf numFmtId="0" fontId="5" fillId="6" borderId="47" xfId="0" applyFont="1" applyFill="1" applyBorder="1"/>
    <xf numFmtId="0" fontId="5" fillId="6" borderId="48" xfId="0" applyFont="1" applyFill="1" applyBorder="1"/>
    <xf numFmtId="0" fontId="7" fillId="0" borderId="0" xfId="0" applyFont="1" applyAlignment="1">
      <alignment horizontal="left" vertical="center" indent="1"/>
    </xf>
    <xf numFmtId="0" fontId="8" fillId="6" borderId="25" xfId="0" applyFont="1" applyFill="1" applyBorder="1" applyAlignment="1">
      <alignment horizontal="left" vertical="center" indent="1"/>
    </xf>
    <xf numFmtId="0" fontId="5" fillId="4" borderId="39" xfId="0" applyFont="1" applyFill="1" applyBorder="1" applyAlignment="1">
      <alignment horizontal="left" vertical="center" inden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41" xfId="0" applyFont="1" applyFill="1" applyBorder="1" applyAlignment="1">
      <alignment horizontal="left" vertical="center" indent="1"/>
    </xf>
    <xf numFmtId="0" fontId="8" fillId="0" borderId="0" xfId="0" applyFont="1"/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justify" vertical="center" wrapText="1"/>
    </xf>
    <xf numFmtId="0" fontId="13" fillId="0" borderId="0" xfId="3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8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left" indent="1"/>
    </xf>
    <xf numFmtId="0" fontId="7" fillId="0" borderId="0" xfId="0" applyFont="1" applyAlignment="1">
      <alignment horizontal="center" wrapText="1"/>
    </xf>
    <xf numFmtId="0" fontId="8" fillId="4" borderId="42" xfId="0" applyFont="1" applyFill="1" applyBorder="1" applyAlignment="1">
      <alignment horizontal="left" vertical="top"/>
    </xf>
    <xf numFmtId="0" fontId="7" fillId="4" borderId="43" xfId="0" applyFont="1" applyFill="1" applyBorder="1" applyAlignment="1">
      <alignment horizontal="center" wrapText="1"/>
    </xf>
    <xf numFmtId="0" fontId="7" fillId="4" borderId="51" xfId="0" applyFont="1" applyFill="1" applyBorder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16" fillId="4" borderId="46" xfId="0" applyFont="1" applyFill="1" applyBorder="1" applyAlignment="1">
      <alignment horizontal="left" vertical="center" indent="1"/>
    </xf>
    <xf numFmtId="0" fontId="7" fillId="4" borderId="47" xfId="0" applyFont="1" applyFill="1" applyBorder="1" applyAlignment="1">
      <alignment horizontal="center" wrapText="1"/>
    </xf>
    <xf numFmtId="0" fontId="7" fillId="4" borderId="52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17" fillId="0" borderId="12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5" fillId="6" borderId="54" xfId="0" applyFont="1" applyFill="1" applyBorder="1"/>
    <xf numFmtId="0" fontId="5" fillId="6" borderId="53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wrapText="1" indent="1"/>
    </xf>
    <xf numFmtId="2" fontId="5" fillId="8" borderId="11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2" fontId="5" fillId="8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2" fontId="5" fillId="8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2" fontId="5" fillId="8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Protection="1">
      <protection locked="0"/>
    </xf>
    <xf numFmtId="2" fontId="22" fillId="8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Protection="1">
      <protection locked="0"/>
    </xf>
    <xf numFmtId="0" fontId="5" fillId="0" borderId="2" xfId="0" applyFont="1" applyBorder="1" applyAlignment="1">
      <alignment horizontal="center"/>
    </xf>
    <xf numFmtId="0" fontId="5" fillId="0" borderId="7" xfId="0" applyFont="1" applyBorder="1" applyProtection="1">
      <protection locked="0"/>
    </xf>
    <xf numFmtId="2" fontId="22" fillId="8" borderId="13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 wrapText="1" indent="1"/>
    </xf>
    <xf numFmtId="2" fontId="5" fillId="8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5" fillId="8" borderId="16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8" fillId="6" borderId="9" xfId="0" applyFont="1" applyFill="1" applyBorder="1" applyAlignment="1">
      <alignment horizontal="left" vertical="center" wrapText="1" indent="1"/>
    </xf>
    <xf numFmtId="0" fontId="8" fillId="6" borderId="8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vertical="center" wrapText="1" indent="1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2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165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 applyProtection="1">
      <alignment horizontal="left" vertical="center" wrapText="1" indent="1"/>
      <protection locked="0"/>
    </xf>
    <xf numFmtId="0" fontId="14" fillId="0" borderId="0" xfId="0" applyFont="1" applyAlignment="1">
      <alignment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indent="1"/>
    </xf>
    <xf numFmtId="0" fontId="6" fillId="0" borderId="6" xfId="0" applyFont="1" applyBorder="1" applyAlignment="1">
      <alignment vertical="top"/>
    </xf>
    <xf numFmtId="0" fontId="24" fillId="0" borderId="6" xfId="0" applyFont="1" applyBorder="1" applyAlignment="1">
      <alignment vertical="top" wrapText="1"/>
    </xf>
    <xf numFmtId="0" fontId="22" fillId="0" borderId="0" xfId="0" applyFont="1" applyAlignment="1">
      <alignment horizontal="left" vertical="center" indent="1"/>
    </xf>
    <xf numFmtId="0" fontId="22" fillId="0" borderId="0" xfId="0" applyFont="1"/>
    <xf numFmtId="0" fontId="25" fillId="0" borderId="0" xfId="0" applyFont="1" applyAlignment="1">
      <alignment wrapText="1"/>
    </xf>
    <xf numFmtId="0" fontId="22" fillId="0" borderId="0" xfId="0" applyFont="1" applyAlignment="1">
      <alignment horizontal="left" vertical="center" wrapText="1" indent="1"/>
    </xf>
    <xf numFmtId="0" fontId="26" fillId="4" borderId="42" xfId="0" applyFont="1" applyFill="1" applyBorder="1"/>
    <xf numFmtId="0" fontId="5" fillId="4" borderId="43" xfId="0" applyFont="1" applyFill="1" applyBorder="1" applyAlignment="1">
      <alignment horizontal="center"/>
    </xf>
    <xf numFmtId="0" fontId="5" fillId="4" borderId="51" xfId="0" applyFont="1" applyFill="1" applyBorder="1"/>
    <xf numFmtId="0" fontId="18" fillId="4" borderId="44" xfId="0" applyFont="1" applyFill="1" applyBorder="1" applyAlignment="1">
      <alignment horizontal="left" indent="1"/>
    </xf>
    <xf numFmtId="0" fontId="5" fillId="4" borderId="0" xfId="0" applyFont="1" applyFill="1" applyAlignment="1">
      <alignment horizontal="center"/>
    </xf>
    <xf numFmtId="0" fontId="5" fillId="4" borderId="10" xfId="0" applyFont="1" applyFill="1" applyBorder="1" applyAlignment="1">
      <alignment wrapText="1"/>
    </xf>
    <xf numFmtId="0" fontId="5" fillId="4" borderId="10" xfId="0" applyFont="1" applyFill="1" applyBorder="1"/>
    <xf numFmtId="0" fontId="27" fillId="4" borderId="46" xfId="0" applyFont="1" applyFill="1" applyBorder="1" applyAlignment="1">
      <alignment horizontal="left" indent="1"/>
    </xf>
    <xf numFmtId="0" fontId="5" fillId="4" borderId="47" xfId="0" applyFont="1" applyFill="1" applyBorder="1" applyAlignment="1">
      <alignment horizontal="center"/>
    </xf>
    <xf numFmtId="0" fontId="5" fillId="4" borderId="52" xfId="0" applyFont="1" applyFill="1" applyBorder="1"/>
    <xf numFmtId="0" fontId="7" fillId="6" borderId="11" xfId="0" applyFont="1" applyFill="1" applyBorder="1" applyAlignment="1">
      <alignment horizontal="left" vertical="center" inden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 indent="1"/>
    </xf>
    <xf numFmtId="0" fontId="5" fillId="0" borderId="33" xfId="0" applyFont="1" applyBorder="1" applyAlignment="1">
      <alignment horizontal="left" vertical="center" inden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>
      <alignment horizontal="left" vertical="center" indent="1"/>
    </xf>
    <xf numFmtId="0" fontId="5" fillId="0" borderId="23" xfId="0" applyFont="1" applyBorder="1" applyAlignment="1" applyProtection="1">
      <alignment horizontal="left" vertical="center" wrapText="1" indent="1"/>
      <protection locked="0"/>
    </xf>
    <xf numFmtId="0" fontId="7" fillId="6" borderId="8" xfId="0" applyFont="1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left" vertical="center" wrapText="1" indent="1"/>
      <protection locked="0"/>
    </xf>
    <xf numFmtId="3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 indent="1"/>
      <protection locked="0"/>
    </xf>
    <xf numFmtId="0" fontId="5" fillId="0" borderId="3" xfId="0" applyFont="1" applyBorder="1" applyAlignment="1">
      <alignment horizontal="left" vertical="center" indent="1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left" vertical="center" indent="1"/>
    </xf>
    <xf numFmtId="3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 indent="1"/>
    </xf>
    <xf numFmtId="0" fontId="11" fillId="6" borderId="9" xfId="0" applyFont="1" applyFill="1" applyBorder="1" applyAlignment="1">
      <alignment horizontal="left" vertical="center" indent="1"/>
    </xf>
    <xf numFmtId="0" fontId="7" fillId="6" borderId="19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right"/>
    </xf>
    <xf numFmtId="0" fontId="7" fillId="6" borderId="2" xfId="0" applyFont="1" applyFill="1" applyBorder="1" applyAlignment="1">
      <alignment horizontal="left" vertical="center" inden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167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>
      <alignment horizontal="left" vertical="center" wrapText="1" indent="1"/>
    </xf>
    <xf numFmtId="0" fontId="7" fillId="6" borderId="7" xfId="0" applyFont="1" applyFill="1" applyBorder="1" applyAlignment="1">
      <alignment horizontal="center" vertical="center" wrapText="1"/>
    </xf>
    <xf numFmtId="165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37" xfId="0" applyNumberFormat="1" applyFont="1" applyBorder="1" applyAlignment="1">
      <alignment horizontal="right" vertical="center" indent="1"/>
    </xf>
    <xf numFmtId="0" fontId="5" fillId="0" borderId="11" xfId="0" applyFont="1" applyBorder="1" applyAlignment="1">
      <alignment horizontal="left" vertical="center" indent="1"/>
    </xf>
    <xf numFmtId="2" fontId="18" fillId="0" borderId="38" xfId="0" applyNumberFormat="1" applyFont="1" applyBorder="1" applyAlignment="1">
      <alignment horizontal="right" vertical="center" indent="1"/>
    </xf>
    <xf numFmtId="0" fontId="7" fillId="7" borderId="1" xfId="0" applyFont="1" applyFill="1" applyBorder="1" applyAlignment="1">
      <alignment horizontal="left" vertical="center" indent="1"/>
    </xf>
    <xf numFmtId="165" fontId="7" fillId="7" borderId="9" xfId="0" applyNumberFormat="1" applyFont="1" applyFill="1" applyBorder="1" applyAlignment="1">
      <alignment horizontal="center" vertical="center"/>
    </xf>
    <xf numFmtId="2" fontId="18" fillId="7" borderId="37" xfId="0" applyNumberFormat="1" applyFont="1" applyFill="1" applyBorder="1" applyAlignment="1">
      <alignment horizontal="right" vertical="center" indent="1"/>
    </xf>
    <xf numFmtId="2" fontId="7" fillId="7" borderId="39" xfId="0" applyNumberFormat="1" applyFont="1" applyFill="1" applyBorder="1" applyAlignment="1">
      <alignment horizontal="right" vertical="center" inden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left" vertical="center" wrapText="1" indent="1"/>
    </xf>
    <xf numFmtId="165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5" xfId="0" applyFont="1" applyFill="1" applyBorder="1" applyAlignment="1">
      <alignment horizontal="left" vertical="center" indent="1"/>
    </xf>
    <xf numFmtId="165" fontId="7" fillId="6" borderId="5" xfId="0" applyNumberFormat="1" applyFont="1" applyFill="1" applyBorder="1" applyAlignment="1">
      <alignment horizontal="center" vertical="center" wrapText="1"/>
    </xf>
    <xf numFmtId="164" fontId="17" fillId="6" borderId="25" xfId="0" applyNumberFormat="1" applyFont="1" applyFill="1" applyBorder="1" applyAlignment="1">
      <alignment horizontal="left" vertical="center" wrapText="1" indent="1"/>
    </xf>
    <xf numFmtId="2" fontId="18" fillId="0" borderId="36" xfId="0" applyNumberFormat="1" applyFont="1" applyBorder="1" applyAlignment="1">
      <alignment horizontal="right" vertical="center" indent="1"/>
    </xf>
    <xf numFmtId="2" fontId="18" fillId="0" borderId="1" xfId="0" applyNumberFormat="1" applyFont="1" applyBorder="1" applyAlignment="1">
      <alignment horizontal="right" vertical="center" indent="1"/>
    </xf>
    <xf numFmtId="2" fontId="18" fillId="0" borderId="39" xfId="0" applyNumberFormat="1" applyFont="1" applyBorder="1" applyAlignment="1">
      <alignment horizontal="right" vertical="center" indent="1"/>
    </xf>
    <xf numFmtId="2" fontId="18" fillId="0" borderId="35" xfId="0" applyNumberFormat="1" applyFont="1" applyBorder="1" applyAlignment="1">
      <alignment horizontal="right" vertical="center" indent="1"/>
    </xf>
    <xf numFmtId="0" fontId="7" fillId="7" borderId="16" xfId="0" applyFont="1" applyFill="1" applyBorder="1" applyAlignment="1">
      <alignment horizontal="left" vertical="center" indent="1"/>
    </xf>
    <xf numFmtId="165" fontId="7" fillId="7" borderId="18" xfId="0" applyNumberFormat="1" applyFont="1" applyFill="1" applyBorder="1" applyAlignment="1">
      <alignment horizontal="center" vertical="center"/>
    </xf>
    <xf numFmtId="2" fontId="18" fillId="7" borderId="39" xfId="0" applyNumberFormat="1" applyFont="1" applyFill="1" applyBorder="1" applyAlignment="1">
      <alignment horizontal="right" vertical="center" indent="1"/>
    </xf>
    <xf numFmtId="2" fontId="18" fillId="7" borderId="35" xfId="0" applyNumberFormat="1" applyFont="1" applyFill="1" applyBorder="1" applyAlignment="1">
      <alignment horizontal="right" vertical="center" indent="1"/>
    </xf>
    <xf numFmtId="0" fontId="7" fillId="0" borderId="55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/>
    </xf>
    <xf numFmtId="164" fontId="22" fillId="0" borderId="34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22" fillId="0" borderId="56" xfId="0" applyNumberFormat="1" applyFont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164" fontId="22" fillId="6" borderId="9" xfId="0" applyNumberFormat="1" applyFont="1" applyFill="1" applyBorder="1" applyAlignment="1">
      <alignment horizontal="center" vertical="center" wrapText="1"/>
    </xf>
    <xf numFmtId="164" fontId="22" fillId="6" borderId="1" xfId="0" applyNumberFormat="1" applyFont="1" applyFill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 wrapText="1"/>
    </xf>
    <xf numFmtId="164" fontId="22" fillId="0" borderId="18" xfId="0" applyNumberFormat="1" applyFont="1" applyBorder="1" applyAlignment="1">
      <alignment horizontal="center"/>
    </xf>
    <xf numFmtId="3" fontId="5" fillId="8" borderId="3" xfId="0" applyNumberFormat="1" applyFont="1" applyFill="1" applyBorder="1" applyAlignment="1">
      <alignment horizontal="center"/>
    </xf>
    <xf numFmtId="0" fontId="7" fillId="7" borderId="9" xfId="0" applyFont="1" applyFill="1" applyBorder="1" applyAlignment="1">
      <alignment horizontal="left" vertical="center" indent="1"/>
    </xf>
    <xf numFmtId="165" fontId="7" fillId="7" borderId="8" xfId="0" applyNumberFormat="1" applyFont="1" applyFill="1" applyBorder="1" applyAlignment="1">
      <alignment horizontal="center" vertical="center"/>
    </xf>
    <xf numFmtId="165" fontId="7" fillId="7" borderId="22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left" vertical="center" indent="1"/>
    </xf>
    <xf numFmtId="165" fontId="7" fillId="7" borderId="24" xfId="0" applyNumberFormat="1" applyFont="1" applyFill="1" applyBorder="1" applyAlignment="1">
      <alignment horizontal="center" vertical="center"/>
    </xf>
    <xf numFmtId="2" fontId="18" fillId="7" borderId="8" xfId="0" applyNumberFormat="1" applyFont="1" applyFill="1" applyBorder="1" applyAlignment="1">
      <alignment horizontal="right" vertical="center" indent="1"/>
    </xf>
    <xf numFmtId="10" fontId="17" fillId="7" borderId="57" xfId="0" applyNumberFormat="1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 wrapText="1" indent="1"/>
      <protection locked="0"/>
    </xf>
    <xf numFmtId="0" fontId="18" fillId="0" borderId="15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left" vertical="center" wrapText="1" indent="1"/>
      <protection locked="0"/>
    </xf>
    <xf numFmtId="0" fontId="8" fillId="4" borderId="42" xfId="0" applyFont="1" applyFill="1" applyBorder="1" applyAlignment="1" applyProtection="1">
      <alignment horizontal="left" vertical="center" wrapText="1" indent="1"/>
      <protection locked="0"/>
    </xf>
    <xf numFmtId="0" fontId="5" fillId="4" borderId="43" xfId="0" applyFont="1" applyFill="1" applyBorder="1" applyAlignment="1" applyProtection="1">
      <alignment wrapText="1"/>
      <protection locked="0"/>
    </xf>
    <xf numFmtId="0" fontId="5" fillId="4" borderId="51" xfId="0" applyFont="1" applyFill="1" applyBorder="1" applyAlignment="1" applyProtection="1">
      <alignment wrapText="1"/>
      <protection locked="0"/>
    </xf>
    <xf numFmtId="0" fontId="5" fillId="4" borderId="0" xfId="0" applyFont="1" applyFill="1" applyAlignment="1" applyProtection="1">
      <alignment horizontal="left" vertical="center" indent="1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left" vertical="center" wrapText="1" indent="1"/>
    </xf>
    <xf numFmtId="0" fontId="5" fillId="4" borderId="0" xfId="0" applyFont="1" applyFill="1" applyAlignment="1" applyProtection="1">
      <alignment vertical="center" wrapText="1"/>
      <protection locked="0"/>
    </xf>
    <xf numFmtId="0" fontId="5" fillId="4" borderId="10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28" fillId="4" borderId="46" xfId="0" applyFont="1" applyFill="1" applyBorder="1" applyAlignment="1" applyProtection="1">
      <alignment horizontal="left" vertical="center" wrapText="1" indent="1"/>
      <protection locked="0"/>
    </xf>
    <xf numFmtId="0" fontId="5" fillId="4" borderId="47" xfId="0" applyFont="1" applyFill="1" applyBorder="1" applyAlignment="1" applyProtection="1">
      <alignment horizontal="left" vertical="center" wrapText="1" indent="1"/>
      <protection locked="0"/>
    </xf>
    <xf numFmtId="0" fontId="5" fillId="4" borderId="52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6" borderId="33" xfId="0" applyFont="1" applyFill="1" applyBorder="1" applyAlignment="1" applyProtection="1">
      <alignment horizontal="left" vertical="center" wrapText="1" inden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1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2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wrapText="1"/>
    </xf>
    <xf numFmtId="1" fontId="27" fillId="0" borderId="0" xfId="0" applyNumberFormat="1" applyFont="1" applyAlignment="1">
      <alignment horizontal="center" wrapText="1"/>
    </xf>
    <xf numFmtId="10" fontId="27" fillId="0" borderId="0" xfId="0" applyNumberFormat="1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left" vertical="center" wrapText="1" indent="1"/>
      <protection locked="0"/>
    </xf>
    <xf numFmtId="0" fontId="18" fillId="0" borderId="11" xfId="0" applyFont="1" applyBorder="1" applyAlignment="1" applyProtection="1">
      <alignment horizontal="left" vertical="center" wrapText="1" indent="1"/>
      <protection locked="0"/>
    </xf>
    <xf numFmtId="166" fontId="5" fillId="0" borderId="8" xfId="2" applyNumberFormat="1" applyFont="1" applyBorder="1" applyAlignment="1" applyProtection="1">
      <alignment horizontal="center" vertical="center" wrapText="1"/>
      <protection locked="0"/>
    </xf>
    <xf numFmtId="0" fontId="7" fillId="7" borderId="50" xfId="0" applyFont="1" applyFill="1" applyBorder="1" applyAlignment="1" applyProtection="1">
      <alignment horizontal="left" vertical="center" wrapText="1" indent="1"/>
      <protection locked="0"/>
    </xf>
    <xf numFmtId="2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1" xfId="2" applyNumberFormat="1" applyFont="1" applyFill="1" applyBorder="1" applyAlignment="1" applyProtection="1">
      <alignment horizontal="center" vertical="center" wrapText="1"/>
      <protection locked="0"/>
    </xf>
    <xf numFmtId="2" fontId="27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10" xfId="0" applyFont="1" applyBorder="1" applyAlignment="1" applyProtection="1">
      <alignment horizontal="left" vertical="center" wrapText="1" indent="1"/>
      <protection locked="0"/>
    </xf>
    <xf numFmtId="0" fontId="30" fillId="0" borderId="6" xfId="0" applyFont="1" applyBorder="1" applyAlignment="1" applyProtection="1">
      <alignment horizontal="right" wrapText="1"/>
      <protection locked="0"/>
    </xf>
    <xf numFmtId="0" fontId="30" fillId="0" borderId="0" xfId="0" applyFont="1" applyAlignment="1" applyProtection="1">
      <alignment horizontal="right" wrapText="1"/>
      <protection locked="0"/>
    </xf>
    <xf numFmtId="0" fontId="7" fillId="6" borderId="2" xfId="0" applyFont="1" applyFill="1" applyBorder="1" applyAlignment="1" applyProtection="1">
      <alignment horizontal="left" vertical="center" wrapText="1" inden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wrapText="1"/>
    </xf>
    <xf numFmtId="9" fontId="11" fillId="0" borderId="0" xfId="2" applyFont="1" applyFill="1" applyBorder="1" applyAlignment="1">
      <alignment horizont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7" borderId="11" xfId="0" applyFont="1" applyFill="1" applyBorder="1" applyAlignment="1" applyProtection="1">
      <alignment horizontal="left" vertical="center" wrapText="1" indent="1"/>
      <protection locked="0"/>
    </xf>
    <xf numFmtId="1" fontId="7" fillId="7" borderId="11" xfId="0" applyNumberFormat="1" applyFont="1" applyFill="1" applyBorder="1" applyAlignment="1" applyProtection="1">
      <alignment horizontal="center" vertical="center" wrapText="1"/>
      <protection locked="0"/>
    </xf>
    <xf numFmtId="9" fontId="7" fillId="7" borderId="11" xfId="2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Alignment="1">
      <alignment wrapText="1"/>
    </xf>
    <xf numFmtId="2" fontId="30" fillId="0" borderId="0" xfId="0" applyNumberFormat="1" applyFont="1" applyAlignment="1">
      <alignment wrapText="1"/>
    </xf>
    <xf numFmtId="0" fontId="10" fillId="0" borderId="0" xfId="0" applyFont="1" applyAlignment="1" applyProtection="1">
      <alignment horizontal="left" vertical="center" wrapText="1" indent="1"/>
      <protection locked="0"/>
    </xf>
    <xf numFmtId="1" fontId="5" fillId="0" borderId="0" xfId="0" applyNumberFormat="1" applyFont="1" applyAlignment="1" applyProtection="1">
      <alignment wrapText="1"/>
      <protection locked="0"/>
    </xf>
    <xf numFmtId="0" fontId="33" fillId="6" borderId="1" xfId="0" applyFont="1" applyFill="1" applyBorder="1" applyAlignment="1" applyProtection="1">
      <alignment horizontal="left" vertical="center" wrapText="1" indent="1"/>
      <protection locked="0"/>
    </xf>
    <xf numFmtId="1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left" vertical="center" wrapText="1" indent="1"/>
    </xf>
    <xf numFmtId="2" fontId="22" fillId="0" borderId="1" xfId="0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6" borderId="11" xfId="0" applyFont="1" applyFill="1" applyBorder="1" applyAlignment="1">
      <alignment horizontal="left" vertical="center" wrapText="1" indent="1"/>
    </xf>
    <xf numFmtId="0" fontId="7" fillId="6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8" fillId="4" borderId="42" xfId="0" applyFont="1" applyFill="1" applyBorder="1"/>
    <xf numFmtId="0" fontId="16" fillId="4" borderId="43" xfId="0" applyFont="1" applyFill="1" applyBorder="1"/>
    <xf numFmtId="0" fontId="16" fillId="4" borderId="0" xfId="0" applyFont="1" applyFill="1"/>
    <xf numFmtId="0" fontId="5" fillId="4" borderId="24" xfId="0" applyFont="1" applyFill="1" applyBorder="1"/>
    <xf numFmtId="0" fontId="16" fillId="0" borderId="0" xfId="0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7" fillId="4" borderId="26" xfId="0" applyFont="1" applyFill="1" applyBorder="1" applyAlignment="1">
      <alignment horizontal="left" vertical="center" wrapText="1" inden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right" vertical="center" wrapText="1" inden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indent="1"/>
    </xf>
    <xf numFmtId="0" fontId="7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right" vertical="center" indent="1"/>
    </xf>
    <xf numFmtId="0" fontId="5" fillId="6" borderId="1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left" vertical="center" indent="1"/>
    </xf>
    <xf numFmtId="0" fontId="5" fillId="6" borderId="13" xfId="0" applyFont="1" applyFill="1" applyBorder="1" applyAlignment="1">
      <alignment horizontal="left" vertical="center" indent="1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1" fontId="5" fillId="0" borderId="11" xfId="0" applyNumberFormat="1" applyFont="1" applyBorder="1" applyAlignment="1">
      <alignment horizontal="right" vertical="center" indent="1"/>
    </xf>
    <xf numFmtId="0" fontId="5" fillId="0" borderId="11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 wrapText="1" indent="1"/>
      <protection locked="0"/>
    </xf>
    <xf numFmtId="1" fontId="22" fillId="0" borderId="11" xfId="0" applyNumberFormat="1" applyFont="1" applyBorder="1" applyAlignment="1">
      <alignment horizontal="right" vertical="center" indent="1"/>
    </xf>
    <xf numFmtId="1" fontId="5" fillId="0" borderId="12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 applyProtection="1">
      <alignment horizontal="left" vertical="center" wrapText="1" indent="1"/>
      <protection locked="0"/>
    </xf>
    <xf numFmtId="0" fontId="7" fillId="7" borderId="11" xfId="0" applyFont="1" applyFill="1" applyBorder="1" applyAlignment="1">
      <alignment horizontal="left" vertical="center" wrapText="1" indent="1"/>
    </xf>
    <xf numFmtId="2" fontId="7" fillId="7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7" borderId="11" xfId="0" applyNumberFormat="1" applyFont="1" applyFill="1" applyBorder="1" applyAlignment="1">
      <alignment horizontal="right" vertical="center" wrapText="1" indent="1"/>
    </xf>
    <xf numFmtId="0" fontId="7" fillId="7" borderId="11" xfId="0" applyFont="1" applyFill="1" applyBorder="1" applyAlignment="1">
      <alignment horizontal="center" vertical="center" wrapText="1"/>
    </xf>
    <xf numFmtId="1" fontId="7" fillId="7" borderId="12" xfId="0" applyNumberFormat="1" applyFont="1" applyFill="1" applyBorder="1" applyAlignment="1">
      <alignment horizontal="center" vertical="center" wrapText="1"/>
    </xf>
    <xf numFmtId="2" fontId="7" fillId="7" borderId="12" xfId="0" applyNumberFormat="1" applyFont="1" applyFill="1" applyBorder="1" applyAlignment="1" applyProtection="1">
      <alignment horizontal="left" vertical="center" wrapText="1" indent="1"/>
      <protection locked="0"/>
    </xf>
    <xf numFmtId="2" fontId="7" fillId="7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1" xfId="0" applyNumberFormat="1" applyFont="1" applyBorder="1" applyAlignment="1">
      <alignment horizontal="right" vertical="center" indent="1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22" fillId="0" borderId="11" xfId="0" applyFont="1" applyBorder="1" applyAlignment="1">
      <alignment horizontal="left" vertical="center" indent="1"/>
    </xf>
    <xf numFmtId="0" fontId="7" fillId="7" borderId="11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164" fontId="5" fillId="6" borderId="11" xfId="0" applyNumberFormat="1" applyFont="1" applyFill="1" applyBorder="1" applyAlignment="1">
      <alignment horizontal="right" vertical="center" inden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 applyProtection="1">
      <alignment horizontal="left" vertical="center" wrapText="1" indent="1"/>
      <protection locked="0"/>
    </xf>
    <xf numFmtId="0" fontId="22" fillId="6" borderId="13" xfId="0" applyFont="1" applyFill="1" applyBorder="1" applyAlignment="1" applyProtection="1">
      <alignment horizontal="left" vertical="center" wrapText="1" indent="1"/>
      <protection locked="0"/>
    </xf>
    <xf numFmtId="0" fontId="18" fillId="0" borderId="11" xfId="0" applyFont="1" applyBorder="1" applyAlignment="1">
      <alignment horizontal="left" vertical="center" wrapText="1" indent="1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left" vertical="center" wrapText="1" indent="1"/>
      <protection locked="0"/>
    </xf>
    <xf numFmtId="0" fontId="36" fillId="0" borderId="0" xfId="0" applyFont="1"/>
    <xf numFmtId="0" fontId="22" fillId="0" borderId="16" xfId="0" applyFont="1" applyBorder="1" applyAlignment="1" applyProtection="1">
      <alignment horizontal="left" vertical="center" wrapText="1" indent="1"/>
      <protection locked="0"/>
    </xf>
    <xf numFmtId="0" fontId="28" fillId="0" borderId="0" xfId="0" applyFont="1"/>
    <xf numFmtId="0" fontId="7" fillId="6" borderId="12" xfId="0" applyFont="1" applyFill="1" applyBorder="1" applyAlignment="1" applyProtection="1">
      <alignment horizontal="left" vertical="center" wrapText="1" indent="1"/>
      <protection locked="0"/>
    </xf>
    <xf numFmtId="0" fontId="7" fillId="6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0" xfId="0" applyFont="1"/>
    <xf numFmtId="165" fontId="5" fillId="0" borderId="11" xfId="0" applyNumberFormat="1" applyFont="1" applyBorder="1" applyAlignment="1">
      <alignment horizontal="right" vertical="center" indent="1"/>
    </xf>
    <xf numFmtId="0" fontId="22" fillId="0" borderId="11" xfId="0" applyFont="1" applyBorder="1" applyAlignment="1">
      <alignment horizontal="left" vertical="center" wrapText="1" indent="1"/>
    </xf>
    <xf numFmtId="0" fontId="5" fillId="7" borderId="1" xfId="0" applyFont="1" applyFill="1" applyBorder="1" applyAlignment="1" applyProtection="1">
      <alignment horizontal="left" vertical="center" wrapText="1" indent="1"/>
      <protection locked="0"/>
    </xf>
    <xf numFmtId="0" fontId="7" fillId="6" borderId="11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3" xfId="0" applyFont="1" applyFill="1" applyBorder="1" applyAlignment="1" applyProtection="1">
      <alignment horizontal="left" vertical="center" wrapText="1" indent="1"/>
      <protection locked="0"/>
    </xf>
    <xf numFmtId="0" fontId="22" fillId="0" borderId="11" xfId="0" applyFont="1" applyBorder="1" applyAlignment="1">
      <alignment horizontal="center" vertical="center"/>
    </xf>
    <xf numFmtId="164" fontId="18" fillId="0" borderId="11" xfId="0" applyNumberFormat="1" applyFont="1" applyBorder="1" applyAlignment="1">
      <alignment horizontal="right" vertical="center" indent="1"/>
    </xf>
    <xf numFmtId="0" fontId="1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7" borderId="11" xfId="0" applyFont="1" applyFill="1" applyBorder="1" applyAlignment="1">
      <alignment horizontal="right" vertical="center" wrapText="1" indent="1"/>
    </xf>
    <xf numFmtId="0" fontId="18" fillId="0" borderId="0" xfId="0" applyFont="1"/>
    <xf numFmtId="0" fontId="5" fillId="6" borderId="11" xfId="0" applyFont="1" applyFill="1" applyBorder="1" applyAlignment="1">
      <alignment horizontal="right" vertical="center" indent="1"/>
    </xf>
    <xf numFmtId="0" fontId="5" fillId="0" borderId="11" xfId="0" applyFont="1" applyBorder="1" applyAlignment="1">
      <alignment horizontal="right" vertical="center" indent="1"/>
    </xf>
    <xf numFmtId="0" fontId="18" fillId="0" borderId="11" xfId="0" quotePrefix="1" applyFont="1" applyBorder="1" applyAlignment="1">
      <alignment horizontal="left" vertical="center" inden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right" vertical="center" wrapText="1" indent="1"/>
    </xf>
    <xf numFmtId="2" fontId="7" fillId="7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5" fillId="6" borderId="2" xfId="0" applyFont="1" applyFill="1" applyBorder="1" applyAlignment="1" applyProtection="1">
      <alignment horizontal="left" vertical="center" wrapText="1" indent="1"/>
      <protection locked="0"/>
    </xf>
    <xf numFmtId="0" fontId="20" fillId="0" borderId="11" xfId="0" applyFont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0" fontId="22" fillId="0" borderId="17" xfId="0" applyFont="1" applyBorder="1" applyAlignment="1" applyProtection="1">
      <alignment horizontal="left" vertical="center" wrapText="1" indent="1"/>
      <protection locked="0"/>
    </xf>
    <xf numFmtId="2" fontId="7" fillId="7" borderId="1" xfId="0" applyNumberFormat="1" applyFont="1" applyFill="1" applyBorder="1" applyAlignment="1">
      <alignment horizontal="left" vertical="center" wrapText="1" indent="1"/>
    </xf>
    <xf numFmtId="0" fontId="7" fillId="7" borderId="1" xfId="0" applyFont="1" applyFill="1" applyBorder="1"/>
    <xf numFmtId="0" fontId="7" fillId="7" borderId="8" xfId="0" applyFont="1" applyFill="1" applyBorder="1"/>
    <xf numFmtId="1" fontId="7" fillId="7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7" fillId="6" borderId="1" xfId="0" applyFont="1" applyFill="1" applyBorder="1" applyAlignment="1">
      <alignment horizontal="righ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16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5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22" fillId="0" borderId="2" xfId="0" applyFont="1" applyBorder="1" applyAlignment="1">
      <alignment horizontal="left" vertical="center" indent="1"/>
    </xf>
    <xf numFmtId="0" fontId="7" fillId="6" borderId="12" xfId="0" applyFont="1" applyFill="1" applyBorder="1" applyAlignment="1">
      <alignment horizontal="left" vertical="center" indent="1"/>
    </xf>
    <xf numFmtId="164" fontId="22" fillId="0" borderId="11" xfId="0" applyNumberFormat="1" applyFont="1" applyBorder="1" applyAlignment="1">
      <alignment horizontal="right" vertical="center" indent="1"/>
    </xf>
    <xf numFmtId="0" fontId="22" fillId="0" borderId="18" xfId="0" applyFont="1" applyBorder="1" applyAlignment="1">
      <alignment horizontal="left" vertical="center" indent="1"/>
    </xf>
    <xf numFmtId="0" fontId="33" fillId="6" borderId="11" xfId="0" applyFont="1" applyFill="1" applyBorder="1" applyAlignment="1">
      <alignment horizontal="left" vertical="center" wrapText="1" indent="1"/>
    </xf>
    <xf numFmtId="0" fontId="22" fillId="6" borderId="11" xfId="0" applyFont="1" applyFill="1" applyBorder="1" applyAlignment="1">
      <alignment horizontal="right" vertical="center" indent="1"/>
    </xf>
    <xf numFmtId="0" fontId="22" fillId="6" borderId="12" xfId="0" applyFont="1" applyFill="1" applyBorder="1" applyAlignment="1">
      <alignment horizontal="left" vertical="center" indent="1"/>
    </xf>
    <xf numFmtId="11" fontId="22" fillId="0" borderId="0" xfId="1" applyNumberFormat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5" fillId="0" borderId="9" xfId="0" applyFont="1" applyBorder="1" applyAlignment="1">
      <alignment horizontal="left" vertical="center" indent="1"/>
    </xf>
    <xf numFmtId="2" fontId="5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vertical="center" indent="1"/>
    </xf>
    <xf numFmtId="0" fontId="5" fillId="0" borderId="17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indent="1"/>
    </xf>
    <xf numFmtId="0" fontId="5" fillId="6" borderId="9" xfId="0" applyFont="1" applyFill="1" applyBorder="1" applyAlignment="1">
      <alignment horizontal="left" vertical="center" indent="1"/>
    </xf>
    <xf numFmtId="0" fontId="16" fillId="4" borderId="22" xfId="0" applyFont="1" applyFill="1" applyBorder="1" applyAlignment="1">
      <alignment horizontal="center" vertical="center"/>
    </xf>
    <xf numFmtId="0" fontId="16" fillId="4" borderId="15" xfId="0" applyFont="1" applyFill="1" applyBorder="1"/>
    <xf numFmtId="0" fontId="16" fillId="4" borderId="10" xfId="0" applyFont="1" applyFill="1" applyBorder="1"/>
    <xf numFmtId="0" fontId="16" fillId="4" borderId="24" xfId="0" applyFont="1" applyFill="1" applyBorder="1" applyAlignment="1">
      <alignment horizontal="center" vertical="center"/>
    </xf>
    <xf numFmtId="0" fontId="16" fillId="4" borderId="33" xfId="0" applyFont="1" applyFill="1" applyBorder="1"/>
    <xf numFmtId="0" fontId="16" fillId="4" borderId="24" xfId="0" applyFont="1" applyFill="1" applyBorder="1"/>
    <xf numFmtId="1" fontId="5" fillId="8" borderId="12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8" fillId="4" borderId="22" xfId="0" applyFont="1" applyFill="1" applyBorder="1"/>
    <xf numFmtId="0" fontId="5" fillId="4" borderId="22" xfId="0" applyFont="1" applyFill="1" applyBorder="1"/>
    <xf numFmtId="0" fontId="5" fillId="4" borderId="15" xfId="0" applyFont="1" applyFill="1" applyBorder="1"/>
    <xf numFmtId="0" fontId="5" fillId="0" borderId="6" xfId="0" applyFont="1" applyBorder="1"/>
    <xf numFmtId="0" fontId="5" fillId="4" borderId="0" xfId="0" applyFont="1" applyFill="1" applyAlignment="1">
      <alignment horizontal="left" vertical="center" indent="1"/>
    </xf>
    <xf numFmtId="0" fontId="22" fillId="4" borderId="0" xfId="0" applyFont="1" applyFill="1" applyAlignment="1">
      <alignment horizontal="left" vertical="center" indent="1"/>
    </xf>
    <xf numFmtId="0" fontId="16" fillId="4" borderId="24" xfId="0" applyFont="1" applyFill="1" applyBorder="1" applyAlignment="1">
      <alignment horizontal="left" vertical="center" indent="1"/>
    </xf>
    <xf numFmtId="0" fontId="5" fillId="4" borderId="33" xfId="0" applyFont="1" applyFill="1" applyBorder="1"/>
    <xf numFmtId="1" fontId="18" fillId="8" borderId="12" xfId="0" applyNumberFormat="1" applyFont="1" applyFill="1" applyBorder="1" applyAlignment="1">
      <alignment horizontal="center" vertical="center" wrapText="1"/>
    </xf>
    <xf numFmtId="10" fontId="18" fillId="0" borderId="11" xfId="0" applyNumberFormat="1" applyFont="1" applyBorder="1" applyAlignment="1">
      <alignment horizontal="center" vertical="center" wrapText="1"/>
    </xf>
    <xf numFmtId="1" fontId="18" fillId="8" borderId="12" xfId="0" applyNumberFormat="1" applyFont="1" applyFill="1" applyBorder="1" applyAlignment="1">
      <alignment horizontal="center" vertical="center"/>
    </xf>
    <xf numFmtId="10" fontId="18" fillId="0" borderId="11" xfId="0" applyNumberFormat="1" applyFont="1" applyBorder="1" applyAlignment="1">
      <alignment horizontal="center" vertical="center"/>
    </xf>
    <xf numFmtId="1" fontId="18" fillId="8" borderId="18" xfId="0" applyNumberFormat="1" applyFont="1" applyFill="1" applyBorder="1" applyAlignment="1">
      <alignment horizontal="center" vertical="center"/>
    </xf>
    <xf numFmtId="10" fontId="18" fillId="0" borderId="16" xfId="0" applyNumberFormat="1" applyFont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 indent="1"/>
    </xf>
    <xf numFmtId="1" fontId="7" fillId="7" borderId="11" xfId="0" applyNumberFormat="1" applyFont="1" applyFill="1" applyBorder="1" applyAlignment="1">
      <alignment horizontal="center" vertical="center"/>
    </xf>
    <xf numFmtId="10" fontId="7" fillId="7" borderId="11" xfId="0" applyNumberFormat="1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left" vertical="center" indent="1"/>
    </xf>
    <xf numFmtId="2" fontId="11" fillId="7" borderId="11" xfId="0" applyNumberFormat="1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left" vertical="center" indent="1"/>
    </xf>
    <xf numFmtId="0" fontId="40" fillId="4" borderId="0" xfId="0" applyFont="1" applyFill="1" applyAlignment="1">
      <alignment vertical="center" wrapText="1"/>
    </xf>
    <xf numFmtId="0" fontId="28" fillId="4" borderId="46" xfId="0" applyFont="1" applyFill="1" applyBorder="1" applyAlignment="1">
      <alignment horizontal="left" vertical="center" indent="1"/>
    </xf>
    <xf numFmtId="0" fontId="40" fillId="4" borderId="47" xfId="0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28" fillId="4" borderId="42" xfId="0" applyFont="1" applyFill="1" applyBorder="1" applyAlignment="1">
      <alignment vertical="center"/>
    </xf>
    <xf numFmtId="0" fontId="40" fillId="4" borderId="43" xfId="0" applyFont="1" applyFill="1" applyBorder="1" applyAlignment="1">
      <alignment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 indent="1"/>
    </xf>
    <xf numFmtId="2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5" fillId="8" borderId="12" xfId="0" applyNumberFormat="1" applyFont="1" applyFill="1" applyBorder="1" applyAlignment="1">
      <alignment horizontal="center" vertical="center" wrapText="1"/>
    </xf>
    <xf numFmtId="1" fontId="5" fillId="8" borderId="12" xfId="0" applyNumberFormat="1" applyFont="1" applyFill="1" applyBorder="1" applyAlignment="1">
      <alignment horizontal="center" vertical="center" wrapText="1"/>
    </xf>
    <xf numFmtId="165" fontId="5" fillId="0" borderId="25" xfId="0" applyNumberFormat="1" applyFont="1" applyBorder="1" applyAlignment="1" applyProtection="1">
      <alignment horizontal="left" vertical="center" wrapText="1" indent="1"/>
      <protection locked="0"/>
    </xf>
    <xf numFmtId="0" fontId="7" fillId="6" borderId="16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8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left" vertical="center" indent="1"/>
    </xf>
    <xf numFmtId="0" fontId="5" fillId="4" borderId="7" xfId="0" applyFont="1" applyFill="1" applyBorder="1" applyAlignment="1">
      <alignment horizontal="left" vertical="center" indent="1"/>
    </xf>
    <xf numFmtId="0" fontId="22" fillId="4" borderId="6" xfId="0" applyFont="1" applyFill="1" applyBorder="1" applyAlignment="1">
      <alignment horizontal="left" vertical="center" indent="1"/>
    </xf>
    <xf numFmtId="0" fontId="41" fillId="0" borderId="0" xfId="0" applyFont="1"/>
    <xf numFmtId="0" fontId="42" fillId="4" borderId="42" xfId="0" applyFont="1" applyFill="1" applyBorder="1" applyAlignment="1">
      <alignment horizontal="left"/>
    </xf>
    <xf numFmtId="0" fontId="41" fillId="4" borderId="40" xfId="0" applyFont="1" applyFill="1" applyBorder="1"/>
    <xf numFmtId="0" fontId="16" fillId="4" borderId="45" xfId="0" applyFont="1" applyFill="1" applyBorder="1"/>
    <xf numFmtId="0" fontId="11" fillId="4" borderId="45" xfId="0" applyFont="1" applyFill="1" applyBorder="1" applyAlignment="1">
      <alignment horizontal="left" wrapText="1"/>
    </xf>
    <xf numFmtId="0" fontId="43" fillId="4" borderId="46" xfId="0" applyFont="1" applyFill="1" applyBorder="1" applyAlignment="1">
      <alignment horizontal="left" vertical="center" indent="1"/>
    </xf>
    <xf numFmtId="0" fontId="11" fillId="4" borderId="48" xfId="0" applyFont="1" applyFill="1" applyBorder="1" applyAlignment="1">
      <alignment horizontal="left" wrapText="1"/>
    </xf>
    <xf numFmtId="0" fontId="7" fillId="6" borderId="16" xfId="0" applyFont="1" applyFill="1" applyBorder="1" applyAlignment="1">
      <alignment horizontal="left" vertical="center" indent="1"/>
    </xf>
    <xf numFmtId="0" fontId="7" fillId="6" borderId="16" xfId="0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>
      <alignment horizontal="left" vertical="center" wrapText="1" indent="1"/>
    </xf>
    <xf numFmtId="2" fontId="7" fillId="7" borderId="1" xfId="2" applyNumberFormat="1" applyFont="1" applyFill="1" applyBorder="1" applyAlignment="1" applyProtection="1">
      <alignment horizontal="center" vertical="center" wrapText="1"/>
    </xf>
    <xf numFmtId="2" fontId="7" fillId="0" borderId="0" xfId="2" applyNumberFormat="1" applyFont="1" applyFill="1" applyBorder="1" applyAlignment="1" applyProtection="1">
      <alignment horizontal="center" vertical="center" wrapText="1"/>
    </xf>
    <xf numFmtId="2" fontId="22" fillId="8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1"/>
    </xf>
    <xf numFmtId="2" fontId="5" fillId="8" borderId="2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1"/>
    </xf>
    <xf numFmtId="0" fontId="27" fillId="0" borderId="0" xfId="0" applyFont="1"/>
    <xf numFmtId="0" fontId="44" fillId="4" borderId="42" xfId="0" applyFont="1" applyFill="1" applyBorder="1" applyAlignment="1">
      <alignment horizontal="left"/>
    </xf>
    <xf numFmtId="0" fontId="16" fillId="4" borderId="43" xfId="0" applyFont="1" applyFill="1" applyBorder="1" applyAlignment="1">
      <alignment vertical="center"/>
    </xf>
    <xf numFmtId="0" fontId="16" fillId="4" borderId="51" xfId="0" applyFont="1" applyFill="1" applyBorder="1"/>
    <xf numFmtId="0" fontId="5" fillId="4" borderId="0" xfId="0" applyFont="1" applyFill="1" applyAlignment="1">
      <alignment vertical="center"/>
    </xf>
    <xf numFmtId="0" fontId="10" fillId="4" borderId="0" xfId="0" applyFont="1" applyFill="1"/>
    <xf numFmtId="0" fontId="5" fillId="4" borderId="47" xfId="0" applyFont="1" applyFill="1" applyBorder="1" applyAlignment="1">
      <alignment vertical="center"/>
    </xf>
    <xf numFmtId="0" fontId="10" fillId="4" borderId="47" xfId="0" applyFont="1" applyFill="1" applyBorder="1"/>
    <xf numFmtId="0" fontId="14" fillId="6" borderId="8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 indent="1"/>
    </xf>
    <xf numFmtId="49" fontId="5" fillId="0" borderId="1" xfId="0" applyNumberFormat="1" applyFont="1" applyBorder="1" applyAlignment="1">
      <alignment horizontal="left" vertical="center" inden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>
      <alignment horizontal="center" vertical="center"/>
    </xf>
    <xf numFmtId="1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/>
    <xf numFmtId="0" fontId="46" fillId="0" borderId="0" xfId="0" applyFont="1"/>
    <xf numFmtId="0" fontId="14" fillId="0" borderId="0" xfId="0" applyFont="1" applyAlignment="1">
      <alignment horizontal="left" vertical="center" wrapText="1" indent="1"/>
    </xf>
    <xf numFmtId="0" fontId="42" fillId="0" borderId="0" xfId="0" applyFont="1" applyAlignment="1">
      <alignment horizontal="left" wrapText="1"/>
    </xf>
    <xf numFmtId="0" fontId="42" fillId="4" borderId="40" xfId="0" applyFont="1" applyFill="1" applyBorder="1" applyAlignment="1">
      <alignment horizontal="left" wrapText="1"/>
    </xf>
    <xf numFmtId="0" fontId="42" fillId="4" borderId="45" xfId="0" applyFont="1" applyFill="1" applyBorder="1" applyAlignment="1">
      <alignment horizontal="left" wrapText="1"/>
    </xf>
    <xf numFmtId="0" fontId="42" fillId="4" borderId="48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7" fillId="6" borderId="20" xfId="0" applyFont="1" applyFill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2" fontId="5" fillId="0" borderId="1" xfId="0" applyNumberFormat="1" applyFont="1" applyBorder="1" applyAlignment="1">
      <alignment horizontal="left" vertical="center" indent="1"/>
    </xf>
    <xf numFmtId="0" fontId="7" fillId="7" borderId="0" xfId="0" applyFont="1" applyFill="1" applyAlignment="1">
      <alignment horizontal="left" vertical="center" wrapText="1" indent="1"/>
    </xf>
    <xf numFmtId="2" fontId="7" fillId="7" borderId="2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7" fillId="7" borderId="1" xfId="0" applyFont="1" applyFill="1" applyBorder="1" applyAlignment="1">
      <alignment horizontal="left" vertical="center" wrapText="1" indent="1"/>
    </xf>
    <xf numFmtId="2" fontId="7" fillId="7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 vertical="center"/>
    </xf>
    <xf numFmtId="2" fontId="7" fillId="7" borderId="21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/>
    <xf numFmtId="1" fontId="7" fillId="7" borderId="9" xfId="2" applyNumberFormat="1" applyFont="1" applyFill="1" applyBorder="1" applyAlignment="1" applyProtection="1">
      <alignment horizontal="center" vertical="center"/>
    </xf>
    <xf numFmtId="166" fontId="5" fillId="7" borderId="41" xfId="0" applyNumberFormat="1" applyFont="1" applyFill="1" applyBorder="1"/>
    <xf numFmtId="0" fontId="47" fillId="0" borderId="0" xfId="0" applyFont="1" applyAlignment="1">
      <alignment horizontal="left" indent="1"/>
    </xf>
    <xf numFmtId="0" fontId="42" fillId="0" borderId="0" xfId="0" applyFont="1" applyAlignment="1">
      <alignment horizontal="left" indent="1"/>
    </xf>
    <xf numFmtId="164" fontId="5" fillId="0" borderId="0" xfId="0" applyNumberFormat="1" applyFont="1"/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>
      <alignment horizontal="left" vertical="center" indent="1"/>
    </xf>
    <xf numFmtId="0" fontId="7" fillId="6" borderId="12" xfId="0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164" fontId="5" fillId="7" borderId="12" xfId="0" applyNumberFormat="1" applyFont="1" applyFill="1" applyBorder="1" applyAlignment="1">
      <alignment horizontal="center"/>
    </xf>
    <xf numFmtId="2" fontId="7" fillId="7" borderId="11" xfId="0" applyNumberFormat="1" applyFont="1" applyFill="1" applyBorder="1" applyAlignment="1">
      <alignment horizontal="center" vertical="center"/>
    </xf>
    <xf numFmtId="164" fontId="5" fillId="7" borderId="12" xfId="0" applyNumberFormat="1" applyFont="1" applyFill="1" applyBorder="1" applyAlignment="1">
      <alignment horizontal="center" vertical="center"/>
    </xf>
    <xf numFmtId="164" fontId="7" fillId="7" borderId="12" xfId="0" applyNumberFormat="1" applyFont="1" applyFill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 applyProtection="1">
      <alignment horizontal="center"/>
      <protection locked="0"/>
    </xf>
    <xf numFmtId="0" fontId="7" fillId="7" borderId="11" xfId="0" applyFont="1" applyFill="1" applyBorder="1" applyAlignment="1" applyProtection="1">
      <alignment horizontal="center"/>
      <protection locked="0"/>
    </xf>
    <xf numFmtId="0" fontId="7" fillId="7" borderId="11" xfId="0" applyFont="1" applyFill="1" applyBorder="1" applyAlignment="1">
      <alignment horizontal="center"/>
    </xf>
    <xf numFmtId="0" fontId="8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5" fillId="4" borderId="15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right" vertical="center" indent="1"/>
    </xf>
    <xf numFmtId="0" fontId="22" fillId="9" borderId="18" xfId="0" applyFont="1" applyFill="1" applyBorder="1" applyAlignment="1">
      <alignment horizontal="left" vertical="center" indent="1"/>
    </xf>
    <xf numFmtId="164" fontId="5" fillId="9" borderId="1" xfId="0" applyNumberFormat="1" applyFont="1" applyFill="1" applyBorder="1" applyAlignment="1">
      <alignment horizontal="center"/>
    </xf>
    <xf numFmtId="164" fontId="5" fillId="9" borderId="11" xfId="0" applyNumberFormat="1" applyFont="1" applyFill="1" applyBorder="1" applyAlignment="1">
      <alignment horizontal="right" vertical="center" indent="1"/>
    </xf>
    <xf numFmtId="0" fontId="48" fillId="0" borderId="0" xfId="0" applyFont="1" applyAlignment="1">
      <alignment horizontal="left" vertical="center" indent="1"/>
    </xf>
    <xf numFmtId="0" fontId="5" fillId="4" borderId="5" xfId="0" applyFont="1" applyFill="1" applyBorder="1" applyAlignment="1">
      <alignment wrapText="1"/>
    </xf>
    <xf numFmtId="0" fontId="5" fillId="4" borderId="22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8" fillId="4" borderId="6" xfId="0" applyFont="1" applyFill="1" applyBorder="1" applyAlignment="1">
      <alignment horizontal="left" vertical="center" wrapText="1" indent="1"/>
    </xf>
    <xf numFmtId="0" fontId="5" fillId="4" borderId="0" xfId="0" applyFont="1" applyFill="1" applyAlignment="1">
      <alignment wrapText="1"/>
    </xf>
    <xf numFmtId="0" fontId="5" fillId="4" borderId="6" xfId="0" applyFont="1" applyFill="1" applyBorder="1" applyAlignment="1">
      <alignment horizontal="left" vertical="center" wrapText="1" indent="1"/>
    </xf>
    <xf numFmtId="2" fontId="5" fillId="4" borderId="0" xfId="0" applyNumberFormat="1" applyFont="1" applyFill="1" applyAlignment="1">
      <alignment wrapText="1"/>
    </xf>
    <xf numFmtId="0" fontId="5" fillId="4" borderId="6" xfId="0" applyFont="1" applyFill="1" applyBorder="1" applyAlignment="1">
      <alignment wrapText="1"/>
    </xf>
    <xf numFmtId="2" fontId="5" fillId="0" borderId="0" xfId="0" applyNumberFormat="1" applyFont="1" applyAlignment="1">
      <alignment wrapText="1"/>
    </xf>
    <xf numFmtId="0" fontId="22" fillId="0" borderId="1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>
      <alignment horizontal="left" indent="1"/>
    </xf>
    <xf numFmtId="0" fontId="50" fillId="0" borderId="0" xfId="0" applyFont="1" applyAlignment="1">
      <alignment wrapText="1"/>
    </xf>
    <xf numFmtId="0" fontId="10" fillId="0" borderId="0" xfId="0" applyFont="1" applyAlignment="1">
      <alignment horizontal="left" vertical="center" indent="1"/>
    </xf>
    <xf numFmtId="164" fontId="5" fillId="0" borderId="16" xfId="0" applyNumberFormat="1" applyFont="1" applyBorder="1" applyAlignment="1">
      <alignment horizontal="right" vertical="center" indent="1"/>
    </xf>
    <xf numFmtId="1" fontId="5" fillId="0" borderId="18" xfId="0" applyNumberFormat="1" applyFont="1" applyBorder="1" applyAlignment="1">
      <alignment horizontal="center" vertical="center"/>
    </xf>
    <xf numFmtId="0" fontId="16" fillId="0" borderId="1" xfId="0" applyFont="1" applyBorder="1"/>
    <xf numFmtId="2" fontId="5" fillId="3" borderId="13" xfId="0" applyNumberFormat="1" applyFont="1" applyFill="1" applyBorder="1" applyAlignment="1">
      <alignment horizontal="center" vertical="center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18" fillId="0" borderId="17" xfId="0" applyFont="1" applyBorder="1" applyAlignment="1">
      <alignment horizontal="right" vertical="center" indent="1"/>
    </xf>
    <xf numFmtId="0" fontId="18" fillId="0" borderId="21" xfId="0" applyFont="1" applyBorder="1" applyAlignment="1">
      <alignment horizontal="left" vertical="center" indent="1"/>
    </xf>
    <xf numFmtId="0" fontId="51" fillId="0" borderId="0" xfId="0" applyFont="1"/>
    <xf numFmtId="0" fontId="18" fillId="0" borderId="18" xfId="0" applyFont="1" applyBorder="1" applyAlignment="1">
      <alignment horizontal="left" vertical="center" indent="1"/>
    </xf>
    <xf numFmtId="0" fontId="52" fillId="0" borderId="0" xfId="0" applyFont="1" applyAlignment="1">
      <alignment horizontal="left" vertical="top" wrapText="1"/>
    </xf>
    <xf numFmtId="0" fontId="18" fillId="0" borderId="12" xfId="0" applyFont="1" applyBorder="1" applyAlignment="1">
      <alignment horizontal="left" vertical="center" indent="1"/>
    </xf>
    <xf numFmtId="164" fontId="18" fillId="0" borderId="1" xfId="1" applyNumberFormat="1" applyFont="1" applyFill="1" applyBorder="1" applyAlignment="1" applyProtection="1">
      <alignment horizontal="right" vertical="center" indent="1"/>
    </xf>
    <xf numFmtId="164" fontId="18" fillId="0" borderId="12" xfId="0" applyNumberFormat="1" applyFont="1" applyBorder="1" applyAlignment="1">
      <alignment horizontal="right" vertical="center" indent="1"/>
    </xf>
    <xf numFmtId="1" fontId="7" fillId="7" borderId="24" xfId="0" applyNumberFormat="1" applyFont="1" applyFill="1" applyBorder="1" applyAlignment="1">
      <alignment horizontal="center" vertical="center"/>
    </xf>
    <xf numFmtId="1" fontId="7" fillId="7" borderId="4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 indent="1"/>
    </xf>
    <xf numFmtId="0" fontId="16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left" vertical="center" indent="1"/>
    </xf>
    <xf numFmtId="0" fontId="8" fillId="4" borderId="5" xfId="0" applyFont="1" applyFill="1" applyBorder="1"/>
    <xf numFmtId="0" fontId="16" fillId="4" borderId="22" xfId="0" applyFont="1" applyFill="1" applyBorder="1"/>
    <xf numFmtId="0" fontId="18" fillId="4" borderId="6" xfId="0" applyFont="1" applyFill="1" applyBorder="1" applyAlignment="1">
      <alignment horizontal="left" vertical="center" indent="1"/>
    </xf>
    <xf numFmtId="0" fontId="5" fillId="4" borderId="6" xfId="0" applyFont="1" applyFill="1" applyBorder="1"/>
    <xf numFmtId="0" fontId="27" fillId="4" borderId="6" xfId="0" applyFont="1" applyFill="1" applyBorder="1" applyAlignment="1">
      <alignment horizontal="left" vertical="center" indent="1"/>
    </xf>
    <xf numFmtId="0" fontId="16" fillId="4" borderId="7" xfId="0" applyFont="1" applyFill="1" applyBorder="1" applyAlignment="1">
      <alignment horizontal="left" vertical="center" indent="1"/>
    </xf>
    <xf numFmtId="164" fontId="18" fillId="0" borderId="12" xfId="0" applyNumberFormat="1" applyFont="1" applyBorder="1" applyAlignment="1">
      <alignment horizontal="right" vertical="center" wrapText="1" indent="1"/>
    </xf>
    <xf numFmtId="0" fontId="18" fillId="9" borderId="19" xfId="0" applyFont="1" applyFill="1" applyBorder="1" applyAlignment="1">
      <alignment horizontal="left" vertical="center" indent="1"/>
    </xf>
    <xf numFmtId="164" fontId="18" fillId="9" borderId="1" xfId="1" applyNumberFormat="1" applyFont="1" applyFill="1" applyBorder="1" applyAlignment="1" applyProtection="1">
      <alignment horizontal="right" vertical="center" indent="1"/>
    </xf>
    <xf numFmtId="164" fontId="5" fillId="0" borderId="3" xfId="0" applyNumberFormat="1" applyFont="1" applyBorder="1" applyAlignment="1">
      <alignment horizontal="center"/>
    </xf>
    <xf numFmtId="165" fontId="7" fillId="7" borderId="1" xfId="0" applyNumberFormat="1" applyFont="1" applyFill="1" applyBorder="1" applyAlignment="1">
      <alignment horizontal="center" vertical="center"/>
    </xf>
    <xf numFmtId="1" fontId="5" fillId="8" borderId="16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22" fillId="0" borderId="0" xfId="0" applyFont="1" applyAlignment="1">
      <alignment horizontal="left" indent="1"/>
    </xf>
    <xf numFmtId="0" fontId="22" fillId="0" borderId="0" xfId="0" applyFont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0" fontId="44" fillId="0" borderId="0" xfId="0" applyFont="1"/>
    <xf numFmtId="2" fontId="22" fillId="0" borderId="1" xfId="0" applyNumberFormat="1" applyFont="1" applyBorder="1" applyAlignment="1">
      <alignment horizontal="right" vertical="center" indent="1"/>
    </xf>
    <xf numFmtId="0" fontId="22" fillId="0" borderId="19" xfId="0" applyFont="1" applyBorder="1" applyAlignment="1">
      <alignment horizontal="left" vertical="center" wrapText="1" indent="1"/>
    </xf>
    <xf numFmtId="0" fontId="22" fillId="0" borderId="8" xfId="0" applyFont="1" applyBorder="1" applyAlignment="1">
      <alignment horizontal="left" vertical="center" wrapText="1" indent="1"/>
    </xf>
    <xf numFmtId="168" fontId="22" fillId="0" borderId="1" xfId="0" applyNumberFormat="1" applyFont="1" applyBorder="1" applyAlignment="1">
      <alignment horizontal="right" vertical="center" indent="1"/>
    </xf>
    <xf numFmtId="164" fontId="5" fillId="3" borderId="16" xfId="0" applyNumberFormat="1" applyFont="1" applyFill="1" applyBorder="1" applyAlignment="1">
      <alignment horizontal="right" vertical="center" indent="1"/>
    </xf>
    <xf numFmtId="0" fontId="22" fillId="0" borderId="13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18" fillId="3" borderId="12" xfId="0" applyFont="1" applyFill="1" applyBorder="1" applyAlignment="1" applyProtection="1">
      <alignment horizontal="left" vertical="center"/>
      <protection locked="0"/>
    </xf>
    <xf numFmtId="0" fontId="18" fillId="0" borderId="9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3" fontId="5" fillId="3" borderId="14" xfId="0" applyNumberFormat="1" applyFont="1" applyFill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horizontal="left" wrapText="1"/>
    </xf>
    <xf numFmtId="0" fontId="5" fillId="3" borderId="12" xfId="0" applyFont="1" applyFill="1" applyBorder="1" applyAlignment="1" applyProtection="1">
      <alignment horizontal="left" vertical="center"/>
      <protection locked="0"/>
    </xf>
    <xf numFmtId="3" fontId="5" fillId="3" borderId="12" xfId="0" applyNumberFormat="1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18" xfId="0" applyFont="1" applyBorder="1" applyAlignment="1">
      <alignment horizontal="left" vertical="center" wrapText="1" indent="1"/>
    </xf>
    <xf numFmtId="2" fontId="5" fillId="3" borderId="58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 indent="1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164" fontId="5" fillId="3" borderId="18" xfId="0" applyNumberFormat="1" applyFont="1" applyFill="1" applyBorder="1" applyAlignment="1">
      <alignment horizontal="right" vertical="center" indent="1"/>
    </xf>
    <xf numFmtId="2" fontId="7" fillId="7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left"/>
    </xf>
    <xf numFmtId="0" fontId="1" fillId="0" borderId="0" xfId="4" applyAlignment="1">
      <alignment horizontal="left" indent="1"/>
    </xf>
    <xf numFmtId="2" fontId="5" fillId="3" borderId="0" xfId="0" applyNumberFormat="1" applyFont="1" applyFill="1" applyAlignment="1" applyProtection="1">
      <alignment horizontal="center" vertical="center" wrapText="1"/>
      <protection locked="0"/>
    </xf>
    <xf numFmtId="2" fontId="5" fillId="8" borderId="0" xfId="0" applyNumberFormat="1" applyFont="1" applyFill="1" applyAlignment="1">
      <alignment horizontal="center" vertical="center" wrapText="1"/>
    </xf>
    <xf numFmtId="1" fontId="5" fillId="8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Alignment="1" applyProtection="1">
      <alignment horizontal="left" vertical="center" wrapText="1" indent="1"/>
      <protection locked="0"/>
    </xf>
    <xf numFmtId="0" fontId="17" fillId="6" borderId="16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 applyProtection="1">
      <alignment horizontal="left" vertical="center" wrapText="1" indent="1"/>
      <protection locked="0"/>
    </xf>
    <xf numFmtId="0" fontId="18" fillId="0" borderId="17" xfId="0" applyFont="1" applyBorder="1" applyAlignment="1">
      <alignment horizontal="left" vertical="center" wrapText="1" indent="1"/>
    </xf>
    <xf numFmtId="0" fontId="54" fillId="0" borderId="16" xfId="0" applyFont="1" applyBorder="1" applyAlignment="1">
      <alignment horizontal="right" vertical="center" indent="1"/>
    </xf>
    <xf numFmtId="0" fontId="54" fillId="0" borderId="11" xfId="0" applyFont="1" applyBorder="1" applyAlignment="1">
      <alignment horizontal="right" vertical="center" indent="1"/>
    </xf>
    <xf numFmtId="0" fontId="56" fillId="0" borderId="0" xfId="0" applyFont="1"/>
    <xf numFmtId="0" fontId="57" fillId="0" borderId="11" xfId="0" applyFont="1" applyBorder="1" applyAlignment="1">
      <alignment horizontal="right" vertical="center" indent="1"/>
    </xf>
    <xf numFmtId="0" fontId="58" fillId="0" borderId="0" xfId="0" applyFont="1"/>
    <xf numFmtId="0" fontId="22" fillId="0" borderId="9" xfId="0" applyFont="1" applyBorder="1" applyAlignment="1">
      <alignment horizontal="left" vertical="center" wrapText="1" indent="1"/>
    </xf>
    <xf numFmtId="0" fontId="57" fillId="0" borderId="1" xfId="0" applyFont="1" applyBorder="1" applyAlignment="1">
      <alignment horizontal="right" vertical="center" indent="1"/>
    </xf>
    <xf numFmtId="0" fontId="22" fillId="0" borderId="18" xfId="0" applyFont="1" applyBorder="1" applyAlignment="1">
      <alignment horizontal="left" vertical="center" wrapText="1" indent="1"/>
    </xf>
    <xf numFmtId="0" fontId="22" fillId="0" borderId="5" xfId="0" applyFont="1" applyBorder="1" applyAlignment="1">
      <alignment horizontal="left" vertical="center" wrapText="1" indent="1"/>
    </xf>
    <xf numFmtId="0" fontId="7" fillId="6" borderId="3" xfId="0" applyFont="1" applyFill="1" applyBorder="1" applyAlignment="1">
      <alignment horizontal="left" vertical="center" wrapText="1" indent="1"/>
    </xf>
    <xf numFmtId="0" fontId="54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55" fillId="0" borderId="11" xfId="0" applyFont="1" applyBorder="1" applyAlignment="1">
      <alignment horizontal="left" vertical="center" indent="1"/>
    </xf>
    <xf numFmtId="0" fontId="60" fillId="0" borderId="11" xfId="0" applyFont="1" applyBorder="1" applyAlignment="1">
      <alignment horizontal="left" vertical="center" indent="1"/>
    </xf>
    <xf numFmtId="0" fontId="22" fillId="9" borderId="11" xfId="0" applyFont="1" applyFill="1" applyBorder="1" applyAlignment="1">
      <alignment horizontal="left" vertical="center" wrapText="1" indent="1"/>
    </xf>
    <xf numFmtId="2" fontId="57" fillId="0" borderId="3" xfId="0" applyNumberFormat="1" applyFont="1" applyBorder="1" applyAlignment="1">
      <alignment horizontal="right" vertical="center" wrapText="1" indent="1"/>
    </xf>
    <xf numFmtId="0" fontId="57" fillId="0" borderId="16" xfId="0" applyFont="1" applyBorder="1" applyAlignment="1">
      <alignment horizontal="right" vertical="center" indent="1"/>
    </xf>
    <xf numFmtId="2" fontId="57" fillId="0" borderId="11" xfId="0" applyNumberFormat="1" applyFont="1" applyBorder="1" applyAlignment="1">
      <alignment horizontal="right" vertical="center" indent="1"/>
    </xf>
    <xf numFmtId="2" fontId="57" fillId="0" borderId="11" xfId="0" applyNumberFormat="1" applyFont="1" applyBorder="1" applyAlignment="1">
      <alignment horizontal="right" vertical="center" wrapText="1" indent="1"/>
    </xf>
    <xf numFmtId="0" fontId="61" fillId="0" borderId="11" xfId="0" applyFont="1" applyBorder="1" applyAlignment="1">
      <alignment horizontal="left" vertical="center" wrapText="1" indent="1"/>
    </xf>
    <xf numFmtId="164" fontId="57" fillId="0" borderId="1" xfId="0" applyNumberFormat="1" applyFont="1" applyBorder="1" applyAlignment="1">
      <alignment horizontal="right" vertical="center" wrapText="1" indent="1"/>
    </xf>
    <xf numFmtId="0" fontId="57" fillId="0" borderId="1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2" fontId="18" fillId="7" borderId="1" xfId="0" applyNumberFormat="1" applyFont="1" applyFill="1" applyBorder="1" applyAlignment="1">
      <alignment horizontal="right" vertical="center" indent="1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22" xfId="0" applyFont="1" applyFill="1" applyBorder="1" applyAlignment="1" applyProtection="1">
      <alignment horizontal="left" vertical="center"/>
      <protection locked="0"/>
    </xf>
    <xf numFmtId="0" fontId="14" fillId="3" borderId="15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11" fillId="6" borderId="12" xfId="0" applyFont="1" applyFill="1" applyBorder="1" applyAlignment="1">
      <alignment horizontal="left" vertical="center" indent="1"/>
    </xf>
    <xf numFmtId="0" fontId="5" fillId="6" borderId="34" xfId="0" applyFont="1" applyFill="1" applyBorder="1" applyAlignment="1">
      <alignment horizontal="left" vertical="center" indent="1"/>
    </xf>
    <xf numFmtId="0" fontId="5" fillId="6" borderId="20" xfId="0" applyFont="1" applyFill="1" applyBorder="1" applyAlignment="1">
      <alignment horizontal="left" vertical="center" indent="1"/>
    </xf>
    <xf numFmtId="0" fontId="15" fillId="0" borderId="0" xfId="0" applyFont="1" applyAlignment="1" applyProtection="1">
      <alignment horizontal="left" wrapText="1" indent="1"/>
      <protection locked="0"/>
    </xf>
    <xf numFmtId="0" fontId="5" fillId="0" borderId="0" xfId="0" applyFont="1" applyAlignment="1" applyProtection="1">
      <alignment horizontal="left" wrapText="1" indent="1"/>
      <protection locked="0"/>
    </xf>
    <xf numFmtId="0" fontId="11" fillId="4" borderId="12" xfId="0" applyFont="1" applyFill="1" applyBorder="1" applyAlignment="1" applyProtection="1">
      <alignment horizontal="left" vertical="center" wrapText="1" indent="1"/>
      <protection locked="0"/>
    </xf>
    <xf numFmtId="0" fontId="5" fillId="4" borderId="34" xfId="0" applyFont="1" applyFill="1" applyBorder="1" applyAlignment="1" applyProtection="1">
      <alignment horizontal="left" vertical="center" wrapText="1" indent="1"/>
      <protection locked="0"/>
    </xf>
    <xf numFmtId="0" fontId="5" fillId="4" borderId="20" xfId="0" applyFont="1" applyFill="1" applyBorder="1" applyAlignment="1" applyProtection="1">
      <alignment horizontal="left" vertical="center" wrapText="1" indent="1"/>
      <protection locked="0"/>
    </xf>
    <xf numFmtId="0" fontId="11" fillId="4" borderId="31" xfId="0" applyFont="1" applyFill="1" applyBorder="1" applyAlignment="1" applyProtection="1">
      <alignment horizontal="left" vertical="center" wrapText="1" indent="1"/>
      <protection locked="0"/>
    </xf>
    <xf numFmtId="0" fontId="11" fillId="4" borderId="32" xfId="0" applyFont="1" applyFill="1" applyBorder="1" applyAlignment="1" applyProtection="1">
      <alignment horizontal="left" vertical="center" wrapText="1" indent="1"/>
      <protection locked="0"/>
    </xf>
    <xf numFmtId="0" fontId="11" fillId="4" borderId="40" xfId="0" applyFont="1" applyFill="1" applyBorder="1" applyAlignment="1" applyProtection="1">
      <alignment horizontal="left" vertical="center" wrapText="1" indent="1"/>
      <protection locked="0"/>
    </xf>
    <xf numFmtId="0" fontId="5" fillId="4" borderId="6" xfId="0" applyFont="1" applyFill="1" applyBorder="1" applyAlignment="1">
      <alignment horizontal="left" vertical="center" wrapText="1" indent="1"/>
    </xf>
    <xf numFmtId="0" fontId="5" fillId="4" borderId="0" xfId="0" applyFont="1" applyFill="1" applyAlignment="1">
      <alignment horizontal="left" vertical="center" wrapText="1" indent="1"/>
    </xf>
    <xf numFmtId="0" fontId="5" fillId="4" borderId="10" xfId="0" applyFont="1" applyFill="1" applyBorder="1" applyAlignment="1">
      <alignment horizontal="left" vertical="center" wrapText="1" indent="1"/>
    </xf>
    <xf numFmtId="0" fontId="5" fillId="4" borderId="7" xfId="0" applyFont="1" applyFill="1" applyBorder="1" applyAlignment="1">
      <alignment horizontal="left" vertical="center" wrapText="1" indent="1"/>
    </xf>
    <xf numFmtId="0" fontId="5" fillId="4" borderId="24" xfId="0" applyFont="1" applyFill="1" applyBorder="1" applyAlignment="1">
      <alignment horizontal="left" vertical="center" wrapText="1" indent="1"/>
    </xf>
    <xf numFmtId="0" fontId="5" fillId="4" borderId="33" xfId="0" applyFont="1" applyFill="1" applyBorder="1" applyAlignment="1">
      <alignment horizontal="left" vertical="center" wrapText="1" indent="1"/>
    </xf>
    <xf numFmtId="0" fontId="5" fillId="9" borderId="1" xfId="0" applyFont="1" applyFill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indent="1"/>
    </xf>
    <xf numFmtId="0" fontId="57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33" fillId="6" borderId="1" xfId="0" applyFont="1" applyFill="1" applyBorder="1" applyAlignment="1">
      <alignment horizontal="left" vertical="center" indent="1"/>
    </xf>
    <xf numFmtId="0" fontId="16" fillId="0" borderId="6" xfId="0" applyFont="1" applyBorder="1"/>
    <xf numFmtId="0" fontId="16" fillId="0" borderId="0" xfId="0" applyFont="1"/>
    <xf numFmtId="0" fontId="51" fillId="0" borderId="6" xfId="0" applyFont="1" applyBorder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53" fillId="0" borderId="6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center" wrapText="1" indent="1"/>
    </xf>
    <xf numFmtId="0" fontId="22" fillId="0" borderId="19" xfId="0" applyFont="1" applyBorder="1" applyAlignment="1">
      <alignment horizontal="left" vertical="center" wrapText="1" indent="1"/>
    </xf>
    <xf numFmtId="0" fontId="22" fillId="0" borderId="8" xfId="0" applyFont="1" applyBorder="1" applyAlignment="1">
      <alignment horizontal="left" vertical="center" wrapText="1" indent="1"/>
    </xf>
    <xf numFmtId="0" fontId="18" fillId="9" borderId="1" xfId="0" applyFont="1" applyFill="1" applyBorder="1" applyAlignment="1">
      <alignment horizontal="left" vertical="center" wrapText="1" indent="1"/>
    </xf>
    <xf numFmtId="0" fontId="18" fillId="0" borderId="2" xfId="0" applyFont="1" applyBorder="1" applyAlignment="1">
      <alignment horizontal="left" vertical="center" wrapText="1" indent="1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left" vertical="center" indent="1"/>
    </xf>
    <xf numFmtId="0" fontId="57" fillId="9" borderId="1" xfId="0" applyFont="1" applyFill="1" applyBorder="1" applyAlignment="1">
      <alignment horizontal="left" vertical="center" indent="1"/>
    </xf>
    <xf numFmtId="0" fontId="7" fillId="6" borderId="9" xfId="0" applyFont="1" applyFill="1" applyBorder="1" applyAlignment="1">
      <alignment horizontal="left" vertical="center" indent="1"/>
    </xf>
    <xf numFmtId="0" fontId="7" fillId="6" borderId="19" xfId="0" applyFont="1" applyFill="1" applyBorder="1" applyAlignment="1">
      <alignment horizontal="left" vertical="center" indent="1"/>
    </xf>
    <xf numFmtId="0" fontId="7" fillId="6" borderId="8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49" fontId="7" fillId="7" borderId="46" xfId="0" applyNumberFormat="1" applyFont="1" applyFill="1" applyBorder="1" applyAlignment="1">
      <alignment horizontal="right" vertical="center" indent="1"/>
    </xf>
    <xf numFmtId="49" fontId="7" fillId="7" borderId="47" xfId="0" applyNumberFormat="1" applyFont="1" applyFill="1" applyBorder="1" applyAlignment="1">
      <alignment horizontal="right" vertical="center" indent="1"/>
    </xf>
    <xf numFmtId="49" fontId="7" fillId="7" borderId="48" xfId="0" applyNumberFormat="1" applyFont="1" applyFill="1" applyBorder="1" applyAlignment="1">
      <alignment horizontal="right" vertical="center" indent="1"/>
    </xf>
  </cellXfs>
  <cellStyles count="5">
    <cellStyle name="Huono" xfId="1" builtinId="27"/>
    <cellStyle name="Hyperlink" xfId="3" xr:uid="{00000000-0005-0000-0000-000001000000}"/>
    <cellStyle name="Hyperlinkki" xfId="4" builtinId="8"/>
    <cellStyle name="Normaali" xfId="0" builtinId="0"/>
    <cellStyle name="Prosenttia" xfId="2" builtinId="5"/>
  </cellStyles>
  <dxfs count="0"/>
  <tableStyles count="0" defaultTableStyle="TableStyleMedium2" defaultPivotStyle="PivotStyleLight16"/>
  <colors>
    <mruColors>
      <color rgb="FFFFF100"/>
      <color rgb="FFDCEFEC"/>
      <color rgb="FFD7232A"/>
      <color rgb="FF97CF41"/>
      <color rgb="FFB60090"/>
      <color rgb="FF82D7BF"/>
      <color rgb="FFFDA700"/>
      <color rgb="FF63CDF6"/>
      <color rgb="FFDD4F2A"/>
      <color rgb="FFD1DB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fi-FI">
                <a:latin typeface="Calibri" panose="020F0502020204030204" pitchFamily="34" charset="0"/>
                <a:cs typeface="Calibri" panose="020F0502020204030204" pitchFamily="34" charset="0"/>
              </a:rPr>
              <a:t> hiilijalanjälki (scope 1 ja 2)</a:t>
            </a:r>
          </a:p>
          <a:p>
            <a:pPr>
              <a:defRPr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fi-FI"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6.0233866411000536E-2"/>
          <c:y val="8.94234039760994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51893328965752883"/>
          <c:y val="0.19888413243693379"/>
          <c:w val="0.3786297567984771"/>
          <c:h val="0.7102669794872867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A37A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6F8-4625-AACB-180DDFFBE828}"/>
              </c:ext>
            </c:extLst>
          </c:dPt>
          <c:dPt>
            <c:idx val="1"/>
            <c:bubble3D val="0"/>
            <c:spPr>
              <a:solidFill>
                <a:srgbClr val="82D7B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D9B-40AE-87B1-467D19CD166A}"/>
              </c:ext>
            </c:extLst>
          </c:dPt>
          <c:dPt>
            <c:idx val="2"/>
            <c:bubble3D val="0"/>
            <c:spPr>
              <a:solidFill>
                <a:srgbClr val="DCEFEC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6F8-4625-AACB-180DDFFBE828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6F8-4625-AACB-180DDFFBE8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9B-40AE-87B1-467D19CD166A}"/>
              </c:ext>
            </c:extLst>
          </c:dPt>
          <c:dPt>
            <c:idx val="5"/>
            <c:bubble3D val="0"/>
            <c:spPr>
              <a:solidFill>
                <a:srgbClr val="D7232A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6F8-4625-AACB-180DDFFBE828}"/>
              </c:ext>
            </c:extLst>
          </c:dPt>
          <c:dPt>
            <c:idx val="6"/>
            <c:bubble3D val="0"/>
            <c:spPr>
              <a:solidFill>
                <a:srgbClr val="FDA7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9B-40AE-87B1-467D19CD166A}"/>
              </c:ext>
            </c:extLst>
          </c:dPt>
          <c:dPt>
            <c:idx val="7"/>
            <c:bubble3D val="0"/>
            <c:spPr>
              <a:solidFill>
                <a:srgbClr val="FFF1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6F8-4625-AACB-180DDFFBE828}"/>
              </c:ext>
            </c:extLst>
          </c:dPt>
          <c:dPt>
            <c:idx val="8"/>
            <c:bubble3D val="0"/>
            <c:spPr>
              <a:solidFill>
                <a:srgbClr val="97CF4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6F8-4625-AACB-180DDFFBE828}"/>
              </c:ext>
            </c:extLst>
          </c:dPt>
          <c:dPt>
            <c:idx val="9"/>
            <c:bubble3D val="0"/>
            <c:spPr>
              <a:solidFill>
                <a:srgbClr val="B6009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66F8-4625-AACB-180DDFFBE828}"/>
              </c:ext>
            </c:extLst>
          </c:dPt>
          <c:dPt>
            <c:idx val="1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BA-4427-A7E5-FD877A15C6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0B07-4958-9758-E65B55AAA24C}"/>
              </c:ext>
            </c:extLst>
          </c:dPt>
          <c:dLbls>
            <c:dLbl>
              <c:idx val="2"/>
              <c:layout>
                <c:manualLayout>
                  <c:x val="-9.1666789277706315E-2"/>
                  <c:y val="0.105308623366610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F8-4625-AACB-180DDFFBE828}"/>
                </c:ext>
              </c:extLst>
            </c:dLbl>
            <c:dLbl>
              <c:idx val="3"/>
              <c:layout>
                <c:manualLayout>
                  <c:x val="-7.1688130076154918E-2"/>
                  <c:y val="0.470378517704194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F8-4625-AACB-180DDFFBE828}"/>
                </c:ext>
              </c:extLst>
            </c:dLbl>
            <c:dLbl>
              <c:idx val="4"/>
              <c:layout>
                <c:manualLayout>
                  <c:x val="-2.8205165931602005E-2"/>
                  <c:y val="0.365069894337583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9B-40AE-87B1-467D19CD166A}"/>
                </c:ext>
              </c:extLst>
            </c:dLbl>
            <c:dLbl>
              <c:idx val="5"/>
              <c:layout>
                <c:manualLayout>
                  <c:x val="-7.0512914829004791E-2"/>
                  <c:y val="4.6803832607382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F8-4625-AACB-180DDFFBE828}"/>
                </c:ext>
              </c:extLst>
            </c:dLbl>
            <c:dLbl>
              <c:idx val="6"/>
              <c:layout>
                <c:manualLayout>
                  <c:x val="-6.5812053840404519E-2"/>
                  <c:y val="0.2480603128191274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9B-40AE-87B1-467D19CD166A}"/>
                </c:ext>
              </c:extLst>
            </c:dLbl>
            <c:dLbl>
              <c:idx val="7"/>
              <c:layout>
                <c:manualLayout>
                  <c:x val="-7.7564206311905276E-2"/>
                  <c:y val="-6.08449823895973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F8-4625-AACB-180DDFFBE828}"/>
                </c:ext>
              </c:extLst>
            </c:dLbl>
            <c:dLbl>
              <c:idx val="8"/>
              <c:layout>
                <c:manualLayout>
                  <c:x val="7.0512914829004361E-3"/>
                  <c:y val="-0.19189571369026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F8-4625-AACB-180DDFFBE82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(D.!$A$10:$A$18,D.!$A$23:$A$25)</c:f>
              <c:strCache>
                <c:ptCount val="12"/>
                <c:pt idx="0">
                  <c:v>Kevyt polttoöljy </c:v>
                </c:pt>
                <c:pt idx="1">
                  <c:v>Dieselöljy</c:v>
                </c:pt>
                <c:pt idx="2">
                  <c:v>Bensiini</c:v>
                </c:pt>
                <c:pt idx="3">
                  <c:v>Uusiutuva kevyt polttoöljy (l)</c:v>
                </c:pt>
                <c:pt idx="4">
                  <c:v>Uusiutuva diesel</c:v>
                </c:pt>
                <c:pt idx="5">
                  <c:v>Nesteytetty maakaasu (LNG)</c:v>
                </c:pt>
                <c:pt idx="6">
                  <c:v>Nestekaasu (propaani)</c:v>
                </c:pt>
                <c:pt idx="7">
                  <c:v>Nestekaasu (LPG, propaanin ja butaanin seos)</c:v>
                </c:pt>
                <c:pt idx="8">
                  <c:v>Puupohjainen polttoaine, esim. hake</c:v>
                </c:pt>
                <c:pt idx="9">
                  <c:v>Sähkö</c:v>
                </c:pt>
                <c:pt idx="10">
                  <c:v>Kaukolämpö</c:v>
                </c:pt>
                <c:pt idx="11">
                  <c:v>Kaukojäähdytys</c:v>
                </c:pt>
              </c:strCache>
            </c:strRef>
          </c:cat>
          <c:val>
            <c:numRef>
              <c:f>(D.!$B$10:$B$18,D.!$B$23:$B$25)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B-40AE-87B1-467D19CD166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3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4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5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6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7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8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9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10"/>
        <c:txPr>
          <a:bodyPr rot="0" spcFirstLastPara="1" vertOverflow="ellipsis" vert="horz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ayout>
        <c:manualLayout>
          <c:xMode val="edge"/>
          <c:yMode val="edge"/>
          <c:x val="2.3514669080098739E-3"/>
          <c:y val="0.27302437150764913"/>
          <c:w val="0.42248752265142131"/>
          <c:h val="0.620328368656203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fi-FI" sz="1600">
                <a:latin typeface="Calibri" panose="020F0502020204030204" pitchFamily="34" charset="0"/>
                <a:cs typeface="Calibri" panose="020F0502020204030204" pitchFamily="34" charset="0"/>
              </a:rPr>
              <a:t> scope 3 hiilijalanjälki </a:t>
            </a:r>
          </a:p>
        </c:rich>
      </c:tx>
      <c:layout>
        <c:manualLayout>
          <c:xMode val="edge"/>
          <c:yMode val="edge"/>
          <c:x val="2.5970906008040261E-2"/>
          <c:y val="0.10466109374652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4534183144098937"/>
          <c:y val="0.13731321408772007"/>
          <c:w val="0.65903217321372176"/>
          <c:h val="0.73142824432570475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4A37A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1FE-4BE9-8AF7-EBFD184468C2}"/>
              </c:ext>
            </c:extLst>
          </c:dPt>
          <c:dPt>
            <c:idx val="1"/>
            <c:bubble3D val="0"/>
            <c:spPr>
              <a:solidFill>
                <a:srgbClr val="63CDF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BAC-42A9-A3F0-BD9650366A00}"/>
              </c:ext>
            </c:extLst>
          </c:dPt>
          <c:dPt>
            <c:idx val="2"/>
            <c:bubble3D val="0"/>
            <c:spPr>
              <a:solidFill>
                <a:srgbClr val="97CF4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32-4588-B269-A8423D74BFC0}"/>
              </c:ext>
            </c:extLst>
          </c:dPt>
          <c:dPt>
            <c:idx val="3"/>
            <c:bubble3D val="0"/>
            <c:spPr>
              <a:solidFill>
                <a:srgbClr val="D7232A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369-4B7B-B1DC-BD05C5A557E5}"/>
              </c:ext>
            </c:extLst>
          </c:dPt>
          <c:dPt>
            <c:idx val="4"/>
            <c:bubble3D val="0"/>
            <c:spPr>
              <a:solidFill>
                <a:srgbClr val="FDA7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9692-4CC1-A6D1-1837E9032FE7}"/>
              </c:ext>
            </c:extLst>
          </c:dPt>
          <c:dPt>
            <c:idx val="5"/>
            <c:bubble3D val="0"/>
            <c:spPr>
              <a:solidFill>
                <a:srgbClr val="82D7B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AC4-4FC4-BACC-24BED02FFFC7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AC4-4FC4-BACC-24BED02FFFC7}"/>
              </c:ext>
            </c:extLst>
          </c:dPt>
          <c:dPt>
            <c:idx val="7"/>
            <c:bubble3D val="0"/>
            <c:spPr>
              <a:solidFill>
                <a:srgbClr val="B6009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850-4C65-A73F-E2CF75F852BB}"/>
              </c:ext>
            </c:extLst>
          </c:dPt>
          <c:dPt>
            <c:idx val="8"/>
            <c:bubble3D val="0"/>
            <c:spPr>
              <a:solidFill>
                <a:srgbClr val="FFF1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D4B-4A15-901E-7A9223167F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77F-4889-B873-BBAA8533F2E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280-4CE0-BCFF-E7851EAF2DA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5AA-430B-884C-877A258B580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803-4431-AFB2-C6878FEE21D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803-4431-AFB2-C6878FEE21D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803-4431-AFB2-C6878FEE21D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803-4431-AFB2-C6878FEE21D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5AA-430B-884C-877A258B580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803-4431-AFB2-C6878FEE21D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F.!$A$10:$A$17</c:f>
              <c:strCache>
                <c:ptCount val="8"/>
                <c:pt idx="0">
                  <c:v>Puuhankinnat</c:v>
                </c:pt>
                <c:pt idx="1">
                  <c:v>Muut materiaalihankinnat</c:v>
                </c:pt>
                <c:pt idx="2">
                  <c:v>Rahti</c:v>
                </c:pt>
                <c:pt idx="3">
                  <c:v>Henkilökunnan työmatkat</c:v>
                </c:pt>
                <c:pt idx="4">
                  <c:v>Työhön liittyvä matkustaminen</c:v>
                </c:pt>
                <c:pt idx="5">
                  <c:v>Jätteet</c:v>
                </c:pt>
                <c:pt idx="6">
                  <c:v>Sähköntuotannon epäsuorat päästöt</c:v>
                </c:pt>
                <c:pt idx="7">
                  <c:v>Polttoaineiden valmistuksen epäsuorat päästöt</c:v>
                </c:pt>
              </c:strCache>
            </c:strRef>
          </c:cat>
          <c:val>
            <c:numRef>
              <c:f>F.!$B$10:$B$17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F.!#REF!</c15:sqref>
                        </c15:formulaRef>
                      </c:ext>
                    </c:extLst>
                    <c:strCache>
                      <c:ptCount val="1"/>
                      <c:pt idx="0">
                        <c:v>#VIITTAUS!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AA-430B-884C-877A258B5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ercent"/>
        <c:splitPos val="1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</c:legendEntry>
      <c:layout>
        <c:manualLayout>
          <c:xMode val="edge"/>
          <c:yMode val="edge"/>
          <c:x val="1.2027583278294134E-2"/>
          <c:y val="0.2045234848436574"/>
          <c:w val="0.20420904039927909"/>
          <c:h val="0.67346700142100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30425</xdr:colOff>
      <xdr:row>44</xdr:row>
      <xdr:rowOff>6880</xdr:rowOff>
    </xdr:from>
    <xdr:to>
      <xdr:col>3</xdr:col>
      <xdr:colOff>2812143</xdr:colOff>
      <xdr:row>72</xdr:row>
      <xdr:rowOff>99786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143403</xdr:rowOff>
    </xdr:from>
    <xdr:to>
      <xdr:col>12</xdr:col>
      <xdr:colOff>369095</xdr:colOff>
      <xdr:row>55</xdr:row>
      <xdr:rowOff>146843</xdr:rowOff>
    </xdr:to>
    <xdr:graphicFrame macro="">
      <xdr:nvGraphicFramePr>
        <xdr:cNvPr id="6" name="Kaavi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sakky.sharepoint.com/sites/Kiertotalousosaamistakonepajoille/Shared%20Documents/General/Ty&#246;kalut%20ja%20tuotokset/Hiilijalanj&#228;lkilaskuri%20ja%20muut%20ymp&#228;rist&#246;mittarit/J&#228;tekirjanpito_poh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ul1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uppinen Juha" id="{15B033CC-4B71-4AA1-A2BE-DEE85F505336}" userId="S::juha.kauppinen@sakky.fi::00870e78-59e5-467f-897d-4faa525a0c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1" dT="2025-12-15T08:55:02.06" personId="{15B033CC-4B71-4AA1-A2BE-DEE85F505336}" id="{32E97E06-0957-468D-9450-D97644D50399}">
    <text>kulutusarvo m3</text>
  </threadedComment>
  <threadedComment ref="C71" dT="2025-12-15T08:54:08.19" personId="{15B033CC-4B71-4AA1-A2BE-DEE85F505336}" id="{D14C31A5-F5F2-4400-AE6E-C0790EAB8B44}">
    <text>Voit muuttaa kaavassa tehollisen lämpöarvon =9.5 ja tiheyden =0.3 arvoja vastaamaan oikeita nimikkeitä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ha.kauppinen@sakky.fi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showGridLines="0" topLeftCell="A31" zoomScale="110" zoomScaleNormal="110" workbookViewId="0">
      <selection activeCell="B42" sqref="B42"/>
    </sheetView>
  </sheetViews>
  <sheetFormatPr defaultColWidth="8.5" defaultRowHeight="14.4" x14ac:dyDescent="0.3"/>
  <cols>
    <col min="1" max="1" width="47" style="2" customWidth="1"/>
    <col min="2" max="2" width="14.69921875" style="2" customWidth="1"/>
    <col min="3" max="3" width="40.5" style="2" customWidth="1"/>
    <col min="4" max="16384" width="8.5" style="2"/>
  </cols>
  <sheetData>
    <row r="1" spans="1:9" x14ac:dyDescent="0.3">
      <c r="A1" s="125" t="s">
        <v>0</v>
      </c>
    </row>
    <row r="2" spans="1:9" ht="40.200000000000003" customHeight="1" x14ac:dyDescent="0.45">
      <c r="A2" s="1" t="s">
        <v>1</v>
      </c>
      <c r="C2" s="3"/>
    </row>
    <row r="3" spans="1:9" ht="15" customHeight="1" x14ac:dyDescent="0.45">
      <c r="A3" s="1"/>
      <c r="C3" s="3"/>
    </row>
    <row r="4" spans="1:9" x14ac:dyDescent="0.3">
      <c r="A4" s="4"/>
      <c r="B4" s="5"/>
      <c r="C4" s="5"/>
      <c r="D4" s="5"/>
      <c r="E4" s="5"/>
      <c r="F4" s="5"/>
      <c r="G4" s="5"/>
      <c r="H4" s="5"/>
      <c r="I4" s="6"/>
    </row>
    <row r="5" spans="1:9" x14ac:dyDescent="0.3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 x14ac:dyDescent="0.3">
      <c r="A6" s="7" t="s">
        <v>3</v>
      </c>
      <c r="B6" s="8"/>
      <c r="C6" s="8"/>
      <c r="D6" s="8"/>
      <c r="E6" s="8"/>
      <c r="F6" s="8"/>
      <c r="G6" s="8"/>
      <c r="H6" s="8"/>
      <c r="I6" s="9"/>
    </row>
    <row r="7" spans="1:9" x14ac:dyDescent="0.3">
      <c r="A7" s="10" t="s">
        <v>4</v>
      </c>
      <c r="B7" s="8"/>
      <c r="C7" s="8"/>
      <c r="D7" s="8"/>
      <c r="E7" s="8"/>
      <c r="F7" s="8"/>
      <c r="G7" s="8"/>
      <c r="H7" s="8"/>
      <c r="I7" s="9"/>
    </row>
    <row r="8" spans="1:9" x14ac:dyDescent="0.3">
      <c r="A8" s="11"/>
      <c r="B8" s="12"/>
      <c r="C8" s="12"/>
      <c r="D8" s="12"/>
      <c r="E8" s="12"/>
      <c r="F8" s="12"/>
      <c r="G8" s="12"/>
      <c r="H8" s="12"/>
      <c r="I8" s="13"/>
    </row>
    <row r="9" spans="1:9" ht="15" customHeight="1" x14ac:dyDescent="0.3">
      <c r="A9" s="14"/>
    </row>
    <row r="10" spans="1:9" x14ac:dyDescent="0.3">
      <c r="A10" s="15"/>
      <c r="B10" s="16"/>
      <c r="C10" s="16"/>
      <c r="D10" s="16"/>
      <c r="E10" s="16"/>
      <c r="F10" s="16"/>
      <c r="G10" s="16"/>
      <c r="H10" s="16"/>
      <c r="I10" s="17"/>
    </row>
    <row r="11" spans="1:9" x14ac:dyDescent="0.3">
      <c r="A11" s="18" t="s">
        <v>5</v>
      </c>
      <c r="B11" s="19"/>
      <c r="C11" s="19"/>
      <c r="D11" s="19"/>
      <c r="E11" s="19"/>
      <c r="F11" s="19"/>
      <c r="G11" s="19"/>
      <c r="H11" s="19"/>
      <c r="I11" s="20"/>
    </row>
    <row r="12" spans="1:9" x14ac:dyDescent="0.3">
      <c r="A12" s="18" t="s">
        <v>6</v>
      </c>
      <c r="B12" s="19"/>
      <c r="C12" s="19"/>
      <c r="D12" s="19"/>
      <c r="E12" s="19"/>
      <c r="F12" s="19"/>
      <c r="G12" s="19"/>
      <c r="H12" s="19"/>
      <c r="I12" s="20"/>
    </row>
    <row r="13" spans="1:9" x14ac:dyDescent="0.3">
      <c r="A13" s="18" t="s">
        <v>7</v>
      </c>
      <c r="B13" s="19"/>
      <c r="C13" s="19"/>
      <c r="D13" s="19"/>
      <c r="E13" s="19"/>
      <c r="F13" s="19"/>
      <c r="G13" s="19"/>
      <c r="H13" s="19"/>
      <c r="I13" s="20"/>
    </row>
    <row r="14" spans="1:9" x14ac:dyDescent="0.3">
      <c r="A14" s="18" t="s">
        <v>8</v>
      </c>
      <c r="B14" s="19"/>
      <c r="C14" s="19"/>
      <c r="D14" s="19"/>
      <c r="E14" s="19"/>
      <c r="F14" s="19"/>
      <c r="G14" s="19"/>
      <c r="H14" s="19"/>
      <c r="I14" s="20"/>
    </row>
    <row r="15" spans="1:9" x14ac:dyDescent="0.3">
      <c r="A15" s="18" t="s">
        <v>9</v>
      </c>
      <c r="B15" s="19"/>
      <c r="C15" s="19"/>
      <c r="D15" s="19"/>
      <c r="E15" s="19"/>
      <c r="F15" s="19"/>
      <c r="G15" s="19"/>
      <c r="H15" s="19"/>
      <c r="I15" s="20"/>
    </row>
    <row r="16" spans="1:9" x14ac:dyDescent="0.3">
      <c r="A16" s="21"/>
      <c r="B16" s="22"/>
      <c r="C16" s="22"/>
      <c r="D16" s="22"/>
      <c r="E16" s="22"/>
      <c r="F16" s="22"/>
      <c r="G16" s="22"/>
      <c r="H16" s="22"/>
      <c r="I16" s="23"/>
    </row>
    <row r="17" spans="1:4" ht="15" customHeight="1" x14ac:dyDescent="0.3">
      <c r="A17" s="14"/>
    </row>
    <row r="18" spans="1:4" x14ac:dyDescent="0.3">
      <c r="A18" s="24" t="s">
        <v>10</v>
      </c>
    </row>
    <row r="19" spans="1:4" ht="15" customHeight="1" x14ac:dyDescent="0.3">
      <c r="A19" s="14"/>
    </row>
    <row r="20" spans="1:4" ht="25.95" customHeight="1" x14ac:dyDescent="0.3">
      <c r="A20" s="25" t="s">
        <v>11</v>
      </c>
    </row>
    <row r="21" spans="1:4" ht="19.95" customHeight="1" x14ac:dyDescent="0.3">
      <c r="A21" s="26" t="s">
        <v>12</v>
      </c>
    </row>
    <row r="22" spans="1:4" ht="19.95" customHeight="1" x14ac:dyDescent="0.3">
      <c r="A22" s="26" t="s">
        <v>13</v>
      </c>
    </row>
    <row r="23" spans="1:4" ht="19.95" customHeight="1" x14ac:dyDescent="0.3">
      <c r="A23" s="26" t="s">
        <v>14</v>
      </c>
    </row>
    <row r="24" spans="1:4" ht="19.95" customHeight="1" x14ac:dyDescent="0.3">
      <c r="A24" s="26" t="s">
        <v>15</v>
      </c>
    </row>
    <row r="25" spans="1:4" ht="19.95" customHeight="1" x14ac:dyDescent="0.45">
      <c r="A25" s="26" t="s">
        <v>16</v>
      </c>
      <c r="C25" s="27"/>
    </row>
    <row r="26" spans="1:4" ht="19.95" customHeight="1" x14ac:dyDescent="0.3">
      <c r="A26" s="26" t="s">
        <v>17</v>
      </c>
    </row>
    <row r="27" spans="1:4" ht="19.95" customHeight="1" x14ac:dyDescent="0.3">
      <c r="A27" s="26" t="s">
        <v>18</v>
      </c>
      <c r="B27" s="28"/>
      <c r="C27" s="29"/>
    </row>
    <row r="28" spans="1:4" ht="19.95" customHeight="1" x14ac:dyDescent="0.3">
      <c r="A28" s="26" t="s">
        <v>19</v>
      </c>
      <c r="B28" s="30"/>
      <c r="C28" s="29"/>
      <c r="D28" s="29"/>
    </row>
    <row r="29" spans="1:4" ht="19.95" customHeight="1" x14ac:dyDescent="0.3">
      <c r="A29" s="26" t="s">
        <v>20</v>
      </c>
      <c r="B29" s="30"/>
      <c r="C29" s="29"/>
    </row>
    <row r="30" spans="1:4" ht="19.95" customHeight="1" x14ac:dyDescent="0.3">
      <c r="A30" s="26" t="s">
        <v>21</v>
      </c>
      <c r="B30" s="30"/>
      <c r="C30" s="29"/>
    </row>
    <row r="31" spans="1:4" ht="19.95" customHeight="1" x14ac:dyDescent="0.3">
      <c r="A31" s="31" t="s">
        <v>22</v>
      </c>
      <c r="C31" s="29"/>
    </row>
    <row r="32" spans="1:4" ht="18" x14ac:dyDescent="0.35">
      <c r="A32" s="32"/>
      <c r="B32" s="30"/>
      <c r="C32" s="29"/>
    </row>
    <row r="33" spans="1:10" x14ac:dyDescent="0.3">
      <c r="A33" s="14" t="s">
        <v>23</v>
      </c>
      <c r="B33" s="30"/>
      <c r="C33" s="29"/>
    </row>
    <row r="34" spans="1:10" x14ac:dyDescent="0.3">
      <c r="A34" s="617" t="s">
        <v>24</v>
      </c>
      <c r="B34" s="30"/>
      <c r="C34" s="29"/>
    </row>
    <row r="35" spans="1:10" x14ac:dyDescent="0.3">
      <c r="A35" s="14" t="s">
        <v>25</v>
      </c>
      <c r="B35" s="30"/>
      <c r="C35" s="29"/>
    </row>
    <row r="36" spans="1:10" ht="15.6" x14ac:dyDescent="0.3">
      <c r="A36" s="33" t="s">
        <v>26</v>
      </c>
      <c r="B36" s="30"/>
      <c r="H36" s="34"/>
    </row>
    <row r="37" spans="1:10" x14ac:dyDescent="0.3">
      <c r="B37" s="30"/>
    </row>
    <row r="38" spans="1:10" x14ac:dyDescent="0.3">
      <c r="A38" s="14" t="s">
        <v>27</v>
      </c>
      <c r="H38" s="34"/>
    </row>
    <row r="39" spans="1:10" x14ac:dyDescent="0.3">
      <c r="A39" s="618" t="s">
        <v>28</v>
      </c>
    </row>
    <row r="40" spans="1:10" x14ac:dyDescent="0.3">
      <c r="A40" s="35"/>
      <c r="H40" s="34"/>
    </row>
    <row r="41" spans="1:10" x14ac:dyDescent="0.3">
      <c r="A41" s="36"/>
    </row>
    <row r="42" spans="1:10" x14ac:dyDescent="0.3">
      <c r="A42" s="549" t="s">
        <v>29</v>
      </c>
    </row>
    <row r="43" spans="1:10" x14ac:dyDescent="0.3">
      <c r="A43" s="36" t="s">
        <v>30</v>
      </c>
      <c r="J43" s="29"/>
    </row>
    <row r="44" spans="1:10" x14ac:dyDescent="0.3">
      <c r="A44" s="36" t="s">
        <v>31</v>
      </c>
    </row>
    <row r="45" spans="1:10" x14ac:dyDescent="0.3">
      <c r="A45" s="584" t="s">
        <v>32</v>
      </c>
    </row>
    <row r="46" spans="1:10" x14ac:dyDescent="0.3">
      <c r="A46" s="584" t="s">
        <v>33</v>
      </c>
    </row>
    <row r="47" spans="1:10" x14ac:dyDescent="0.3">
      <c r="A47" s="584" t="s">
        <v>34</v>
      </c>
    </row>
    <row r="48" spans="1:10" x14ac:dyDescent="0.3">
      <c r="A48" s="584" t="s">
        <v>35</v>
      </c>
    </row>
    <row r="52" spans="1:1" ht="18" x14ac:dyDescent="0.35">
      <c r="A52" s="37"/>
    </row>
    <row r="53" spans="1:1" x14ac:dyDescent="0.3">
      <c r="A53" s="38"/>
    </row>
    <row r="54" spans="1:1" x14ac:dyDescent="0.3">
      <c r="A54" s="38"/>
    </row>
    <row r="55" spans="1:1" x14ac:dyDescent="0.3">
      <c r="A55" s="38"/>
    </row>
    <row r="56" spans="1:1" x14ac:dyDescent="0.3">
      <c r="A56" s="38"/>
    </row>
    <row r="57" spans="1:1" x14ac:dyDescent="0.3">
      <c r="A57" s="38"/>
    </row>
    <row r="59" spans="1:1" ht="18" x14ac:dyDescent="0.35">
      <c r="A59" s="39"/>
    </row>
    <row r="65" spans="1:1" x14ac:dyDescent="0.3">
      <c r="A65" s="40"/>
    </row>
    <row r="66" spans="1:1" x14ac:dyDescent="0.3">
      <c r="A66" s="40"/>
    </row>
  </sheetData>
  <hyperlinks>
    <hyperlink ref="A39" r:id="rId1" xr:uid="{87E95ED5-909A-43A2-840D-224938AAB228}"/>
  </hyperlinks>
  <pageMargins left="0.7" right="0.7" top="0.75" bottom="0.75" header="0.3" footer="0.3"/>
  <pageSetup paperSize="9" orientation="landscape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8"/>
  <sheetViews>
    <sheetView showGridLines="0" topLeftCell="A29" zoomScale="70" zoomScaleNormal="70" workbookViewId="0">
      <selection activeCell="B21" sqref="B21"/>
    </sheetView>
  </sheetViews>
  <sheetFormatPr defaultColWidth="8.69921875" defaultRowHeight="14.4" x14ac:dyDescent="0.3"/>
  <cols>
    <col min="1" max="1" width="40.69921875" style="2" customWidth="1"/>
    <col min="2" max="2" width="20.69921875" style="2" customWidth="1"/>
    <col min="3" max="3" width="46" style="2" customWidth="1"/>
    <col min="4" max="4" width="19.5" style="2" customWidth="1"/>
    <col min="5" max="5" width="31.69921875" style="2" customWidth="1"/>
    <col min="6" max="6" width="47.5" style="2" customWidth="1"/>
    <col min="7" max="8" width="8.69921875" style="2"/>
    <col min="9" max="9" width="37" style="2" bestFit="1" customWidth="1"/>
    <col min="10" max="10" width="23" style="2" bestFit="1" customWidth="1"/>
    <col min="11" max="16384" width="8.69921875" style="2"/>
  </cols>
  <sheetData>
    <row r="1" spans="1:3" ht="40.200000000000003" customHeight="1" x14ac:dyDescent="0.45">
      <c r="A1" s="41" t="s">
        <v>491</v>
      </c>
      <c r="C1" s="486"/>
    </row>
    <row r="2" spans="1:3" ht="15" customHeight="1" x14ac:dyDescent="0.45">
      <c r="A2" s="41"/>
      <c r="C2" s="486"/>
    </row>
    <row r="3" spans="1:3" ht="15" customHeight="1" x14ac:dyDescent="0.4">
      <c r="A3" s="128"/>
      <c r="B3" s="5"/>
      <c r="C3" s="487"/>
    </row>
    <row r="4" spans="1:3" ht="15" customHeight="1" x14ac:dyDescent="0.4">
      <c r="A4" s="10" t="s">
        <v>492</v>
      </c>
      <c r="B4" s="8"/>
      <c r="C4" s="488"/>
    </row>
    <row r="5" spans="1:3" ht="15" customHeight="1" x14ac:dyDescent="0.4">
      <c r="A5" s="10" t="s">
        <v>493</v>
      </c>
      <c r="B5" s="8"/>
      <c r="C5" s="488"/>
    </row>
    <row r="6" spans="1:3" ht="15" customHeight="1" x14ac:dyDescent="0.4">
      <c r="A6" s="10" t="s">
        <v>494</v>
      </c>
      <c r="B6" s="8"/>
      <c r="C6" s="488"/>
    </row>
    <row r="7" spans="1:3" ht="15" customHeight="1" x14ac:dyDescent="0.4">
      <c r="A7" s="10" t="s">
        <v>495</v>
      </c>
      <c r="B7" s="8"/>
      <c r="C7" s="488"/>
    </row>
    <row r="8" spans="1:3" ht="15" customHeight="1" x14ac:dyDescent="0.4">
      <c r="A8" s="49"/>
      <c r="B8" s="12"/>
      <c r="C8" s="489"/>
    </row>
    <row r="9" spans="1:3" ht="15" customHeight="1" x14ac:dyDescent="0.3">
      <c r="A9" s="490"/>
      <c r="B9" s="490"/>
      <c r="C9" s="490"/>
    </row>
    <row r="10" spans="1:3" ht="25.2" customHeight="1" x14ac:dyDescent="0.3">
      <c r="A10" s="383" t="s">
        <v>496</v>
      </c>
      <c r="B10" s="147" t="s">
        <v>455</v>
      </c>
      <c r="C10" s="491" t="s">
        <v>497</v>
      </c>
    </row>
    <row r="11" spans="1:3" x14ac:dyDescent="0.3">
      <c r="A11" s="467" t="s">
        <v>498</v>
      </c>
      <c r="B11" s="439"/>
      <c r="C11" s="326"/>
    </row>
    <row r="12" spans="1:3" x14ac:dyDescent="0.3">
      <c r="A12" s="467" t="s">
        <v>499</v>
      </c>
      <c r="B12" s="439"/>
      <c r="C12" s="314"/>
    </row>
    <row r="13" spans="1:3" x14ac:dyDescent="0.3">
      <c r="A13" s="467" t="s">
        <v>500</v>
      </c>
      <c r="B13" s="439"/>
      <c r="C13" s="152"/>
    </row>
    <row r="14" spans="1:3" x14ac:dyDescent="0.3">
      <c r="A14" s="467" t="s">
        <v>501</v>
      </c>
      <c r="B14" s="439"/>
      <c r="C14" s="244"/>
    </row>
    <row r="15" spans="1:3" x14ac:dyDescent="0.3">
      <c r="A15" s="492" t="s">
        <v>502</v>
      </c>
      <c r="B15" s="439"/>
      <c r="C15" s="493"/>
    </row>
    <row r="16" spans="1:3" x14ac:dyDescent="0.3">
      <c r="A16" s="72" t="s">
        <v>503</v>
      </c>
      <c r="B16" s="439"/>
      <c r="C16" s="97"/>
    </row>
    <row r="17" spans="1:3" x14ac:dyDescent="0.3">
      <c r="A17" s="467" t="s">
        <v>111</v>
      </c>
      <c r="B17" s="439"/>
      <c r="C17" s="97"/>
    </row>
    <row r="18" spans="1:3" x14ac:dyDescent="0.3">
      <c r="A18" s="72" t="s">
        <v>295</v>
      </c>
      <c r="B18" s="439"/>
      <c r="C18" s="97"/>
    </row>
    <row r="19" spans="1:3" x14ac:dyDescent="0.3">
      <c r="A19" s="72" t="s">
        <v>314</v>
      </c>
      <c r="B19" s="439"/>
      <c r="C19" s="97"/>
    </row>
    <row r="20" spans="1:3" x14ac:dyDescent="0.3">
      <c r="A20" s="467" t="s">
        <v>313</v>
      </c>
      <c r="B20" s="439"/>
      <c r="C20" s="152"/>
    </row>
    <row r="21" spans="1:3" x14ac:dyDescent="0.3">
      <c r="A21" s="494" t="s">
        <v>504</v>
      </c>
      <c r="B21" s="103"/>
      <c r="C21" s="97"/>
    </row>
    <row r="22" spans="1:3" x14ac:dyDescent="0.3">
      <c r="A22" s="495" t="s">
        <v>505</v>
      </c>
      <c r="B22" s="496">
        <f>SUM(B11:B21)</f>
        <v>0</v>
      </c>
      <c r="C22" s="497"/>
    </row>
    <row r="23" spans="1:3" ht="25.2" customHeight="1" x14ac:dyDescent="0.3">
      <c r="A23" s="102" t="s">
        <v>506</v>
      </c>
      <c r="B23" s="147" t="s">
        <v>455</v>
      </c>
      <c r="C23" s="498"/>
    </row>
    <row r="24" spans="1:3" x14ac:dyDescent="0.3">
      <c r="A24" s="465" t="s">
        <v>507</v>
      </c>
      <c r="B24" s="499"/>
      <c r="C24" s="500"/>
    </row>
    <row r="25" spans="1:3" x14ac:dyDescent="0.3">
      <c r="A25" s="72" t="s">
        <v>508</v>
      </c>
      <c r="B25" s="103"/>
      <c r="C25" s="97"/>
    </row>
    <row r="26" spans="1:3" x14ac:dyDescent="0.3">
      <c r="A26" s="391" t="s">
        <v>509</v>
      </c>
      <c r="B26" s="103"/>
      <c r="C26" s="97"/>
    </row>
    <row r="27" spans="1:3" x14ac:dyDescent="0.3">
      <c r="A27" s="72" t="s">
        <v>510</v>
      </c>
      <c r="B27" s="103"/>
      <c r="C27" s="97"/>
    </row>
    <row r="28" spans="1:3" x14ac:dyDescent="0.3">
      <c r="A28" s="72" t="s">
        <v>511</v>
      </c>
      <c r="B28" s="103"/>
      <c r="C28" s="97"/>
    </row>
    <row r="29" spans="1:3" x14ac:dyDescent="0.3">
      <c r="A29" s="391" t="s">
        <v>512</v>
      </c>
      <c r="B29" s="103"/>
      <c r="C29" s="97"/>
    </row>
    <row r="30" spans="1:3" x14ac:dyDescent="0.3">
      <c r="A30" s="72" t="s">
        <v>513</v>
      </c>
      <c r="B30" s="103"/>
      <c r="C30" s="97"/>
    </row>
    <row r="31" spans="1:3" x14ac:dyDescent="0.3">
      <c r="A31" s="72" t="s">
        <v>514</v>
      </c>
      <c r="B31" s="103"/>
      <c r="C31" s="97"/>
    </row>
    <row r="32" spans="1:3" x14ac:dyDescent="0.3">
      <c r="A32" s="501" t="s">
        <v>515</v>
      </c>
      <c r="B32" s="502">
        <f>SUM(B24:B31)</f>
        <v>0</v>
      </c>
      <c r="C32" s="497"/>
    </row>
    <row r="33" spans="1:3" ht="25.2" customHeight="1" x14ac:dyDescent="0.3">
      <c r="A33" s="102" t="s">
        <v>516</v>
      </c>
      <c r="B33" s="503"/>
      <c r="C33" s="498"/>
    </row>
    <row r="34" spans="1:3" x14ac:dyDescent="0.3">
      <c r="A34" s="73" t="s">
        <v>404</v>
      </c>
      <c r="B34" s="499"/>
      <c r="C34" s="97"/>
    </row>
    <row r="35" spans="1:3" x14ac:dyDescent="0.3">
      <c r="A35" s="73" t="s">
        <v>517</v>
      </c>
      <c r="B35" s="499"/>
      <c r="C35" s="97"/>
    </row>
    <row r="36" spans="1:3" x14ac:dyDescent="0.3">
      <c r="A36" s="501" t="s">
        <v>518</v>
      </c>
      <c r="B36" s="502">
        <f>B34+B35</f>
        <v>0</v>
      </c>
      <c r="C36" s="504"/>
    </row>
    <row r="37" spans="1:3" x14ac:dyDescent="0.3">
      <c r="A37" s="461" t="s">
        <v>519</v>
      </c>
      <c r="B37" s="505">
        <f>B22+B32+B36</f>
        <v>0</v>
      </c>
      <c r="C37" s="506"/>
    </row>
    <row r="38" spans="1:3" x14ac:dyDescent="0.3">
      <c r="A38" s="461" t="s">
        <v>520</v>
      </c>
      <c r="B38" s="507" t="e">
        <f>((B22+B32)/B37)*100</f>
        <v>#DIV/0!</v>
      </c>
      <c r="C38" s="508"/>
    </row>
  </sheetData>
  <sheetProtection algorithmName="SHA-512" hashValue="uxGav65xRh2zasrxByexZsjUddq2eb/yQzaItqJpsN2jvZxM1gGphvW0rif8XDMRrJWm/GrwmpxhxUtFTmgobQ==" saltValue="SghUrv2nHd9Ok/izXTfnGQ==" spinCount="100000" sheet="1" objects="1" scenarios="1" formatCells="0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4"/>
  <sheetViews>
    <sheetView showGridLines="0" topLeftCell="A8" zoomScale="90" zoomScaleNormal="90" workbookViewId="0">
      <selection activeCell="A37" sqref="A37"/>
    </sheetView>
  </sheetViews>
  <sheetFormatPr defaultColWidth="8.69921875" defaultRowHeight="14.4" x14ac:dyDescent="0.3"/>
  <cols>
    <col min="1" max="1" width="33" style="2" customWidth="1"/>
    <col min="2" max="2" width="36.5" style="2" customWidth="1"/>
    <col min="3" max="5" width="15.59765625" style="99" customWidth="1"/>
    <col min="6" max="16384" width="8.69921875" style="2"/>
  </cols>
  <sheetData>
    <row r="1" spans="1:6" ht="40.200000000000003" customHeight="1" x14ac:dyDescent="0.45">
      <c r="A1" s="41" t="s">
        <v>521</v>
      </c>
      <c r="B1" s="509"/>
    </row>
    <row r="2" spans="1:6" ht="15" customHeight="1" x14ac:dyDescent="0.45">
      <c r="A2" s="510"/>
      <c r="B2" s="509"/>
    </row>
    <row r="3" spans="1:6" ht="15" customHeight="1" x14ac:dyDescent="0.3">
      <c r="A3" s="529"/>
      <c r="B3" s="408"/>
      <c r="C3" s="447"/>
      <c r="D3" s="447"/>
      <c r="E3" s="530"/>
    </row>
    <row r="4" spans="1:6" ht="15" customHeight="1" x14ac:dyDescent="0.3">
      <c r="A4" s="448" t="s">
        <v>522</v>
      </c>
      <c r="B4" s="527"/>
      <c r="C4" s="528"/>
      <c r="D4" s="132"/>
      <c r="E4" s="531"/>
    </row>
    <row r="5" spans="1:6" ht="15" customHeight="1" x14ac:dyDescent="0.3">
      <c r="A5" s="448" t="s">
        <v>523</v>
      </c>
      <c r="B5" s="526"/>
      <c r="C5" s="528"/>
      <c r="D5" s="132"/>
      <c r="E5" s="531"/>
    </row>
    <row r="6" spans="1:6" ht="15" customHeight="1" x14ac:dyDescent="0.3">
      <c r="A6" s="448" t="s">
        <v>524</v>
      </c>
      <c r="B6" s="8"/>
      <c r="C6" s="132"/>
      <c r="D6" s="132"/>
      <c r="E6" s="531"/>
    </row>
    <row r="7" spans="1:6" ht="15" customHeight="1" x14ac:dyDescent="0.3">
      <c r="A7" s="448"/>
      <c r="B7" s="8"/>
      <c r="C7" s="132"/>
      <c r="D7" s="132"/>
      <c r="E7" s="531"/>
    </row>
    <row r="8" spans="1:6" ht="15" customHeight="1" x14ac:dyDescent="0.3">
      <c r="A8" s="448" t="s">
        <v>525</v>
      </c>
      <c r="B8" s="8"/>
      <c r="C8" s="132"/>
      <c r="D8" s="132"/>
      <c r="E8" s="531"/>
    </row>
    <row r="9" spans="1:6" ht="15" customHeight="1" x14ac:dyDescent="0.3">
      <c r="A9" s="448" t="s">
        <v>526</v>
      </c>
      <c r="B9" s="8"/>
      <c r="C9" s="132"/>
      <c r="D9" s="132"/>
      <c r="E9" s="531"/>
    </row>
    <row r="10" spans="1:6" ht="15" customHeight="1" x14ac:dyDescent="0.3">
      <c r="A10" s="449"/>
      <c r="B10" s="294"/>
      <c r="C10" s="532"/>
      <c r="D10" s="532"/>
      <c r="E10" s="533"/>
    </row>
    <row r="12" spans="1:6" ht="25.2" customHeight="1" x14ac:dyDescent="0.3">
      <c r="A12" s="138" t="s">
        <v>527</v>
      </c>
      <c r="B12" s="138" t="s">
        <v>528</v>
      </c>
      <c r="C12" s="287" t="s">
        <v>529</v>
      </c>
      <c r="D12" s="514" t="s">
        <v>530</v>
      </c>
      <c r="E12" s="287" t="s">
        <v>531</v>
      </c>
    </row>
    <row r="13" spans="1:6" x14ac:dyDescent="0.3">
      <c r="A13" s="171" t="s">
        <v>404</v>
      </c>
      <c r="B13" s="171" t="s">
        <v>532</v>
      </c>
      <c r="C13" s="115"/>
      <c r="D13" s="515">
        <v>1.6E-2</v>
      </c>
      <c r="E13" s="516">
        <f>C13*D13</f>
        <v>0</v>
      </c>
      <c r="F13" s="511"/>
    </row>
    <row r="14" spans="1:6" x14ac:dyDescent="0.3">
      <c r="A14" s="171"/>
      <c r="B14" s="171" t="s">
        <v>533</v>
      </c>
      <c r="C14" s="115"/>
      <c r="D14" s="515">
        <v>3.4000000000000002E-2</v>
      </c>
      <c r="E14" s="516">
        <f t="shared" ref="E14:E43" si="0">C14*D14</f>
        <v>0</v>
      </c>
      <c r="F14" s="511"/>
    </row>
    <row r="15" spans="1:6" x14ac:dyDescent="0.3">
      <c r="A15" s="171"/>
      <c r="B15" s="171" t="s">
        <v>534</v>
      </c>
      <c r="C15" s="512"/>
      <c r="D15" s="515">
        <v>0.1</v>
      </c>
      <c r="E15" s="516">
        <f t="shared" si="0"/>
        <v>0</v>
      </c>
      <c r="F15" s="511"/>
    </row>
    <row r="16" spans="1:6" x14ac:dyDescent="0.3">
      <c r="A16" s="171"/>
      <c r="B16" s="171" t="s">
        <v>535</v>
      </c>
      <c r="C16" s="115"/>
      <c r="D16" s="515">
        <v>0.2</v>
      </c>
      <c r="E16" s="516">
        <f t="shared" si="0"/>
        <v>0</v>
      </c>
      <c r="F16" s="511"/>
    </row>
    <row r="17" spans="1:6" x14ac:dyDescent="0.3">
      <c r="A17" s="171"/>
      <c r="B17" s="171" t="s">
        <v>536</v>
      </c>
      <c r="C17" s="115"/>
      <c r="D17" s="515">
        <v>0.3</v>
      </c>
      <c r="E17" s="516">
        <f t="shared" si="0"/>
        <v>0</v>
      </c>
      <c r="F17" s="511"/>
    </row>
    <row r="18" spans="1:6" x14ac:dyDescent="0.3">
      <c r="A18" s="171"/>
      <c r="B18" s="171" t="s">
        <v>537</v>
      </c>
      <c r="C18" s="115"/>
      <c r="D18" s="515">
        <v>0.4</v>
      </c>
      <c r="E18" s="516">
        <f t="shared" si="0"/>
        <v>0</v>
      </c>
      <c r="F18" s="511"/>
    </row>
    <row r="19" spans="1:6" x14ac:dyDescent="0.3">
      <c r="A19" s="171"/>
      <c r="B19" s="171" t="s">
        <v>538</v>
      </c>
      <c r="C19" s="115"/>
      <c r="D19" s="515">
        <v>0.3</v>
      </c>
      <c r="E19" s="516">
        <f t="shared" si="0"/>
        <v>0</v>
      </c>
      <c r="F19" s="511"/>
    </row>
    <row r="20" spans="1:6" x14ac:dyDescent="0.3">
      <c r="A20" s="423" t="s">
        <v>539</v>
      </c>
      <c r="B20" s="513"/>
      <c r="C20" s="523"/>
      <c r="D20" s="517"/>
      <c r="E20" s="518">
        <f>E13+E14+E15+E16+E17+E18+E19</f>
        <v>0</v>
      </c>
      <c r="F20" s="511"/>
    </row>
    <row r="21" spans="1:6" x14ac:dyDescent="0.3">
      <c r="A21" s="68" t="s">
        <v>540</v>
      </c>
      <c r="B21" s="171" t="s">
        <v>541</v>
      </c>
      <c r="C21" s="115"/>
      <c r="D21" s="515">
        <v>0.05</v>
      </c>
      <c r="E21" s="516">
        <f t="shared" si="0"/>
        <v>0</v>
      </c>
      <c r="F21" s="511"/>
    </row>
    <row r="22" spans="1:6" x14ac:dyDescent="0.3">
      <c r="A22" s="171"/>
      <c r="B22" s="171" t="s">
        <v>542</v>
      </c>
      <c r="C22" s="115"/>
      <c r="D22" s="515">
        <v>0.08</v>
      </c>
      <c r="E22" s="516">
        <f t="shared" si="0"/>
        <v>0</v>
      </c>
      <c r="F22" s="511"/>
    </row>
    <row r="23" spans="1:6" x14ac:dyDescent="0.3">
      <c r="A23" s="171"/>
      <c r="B23" s="171" t="s">
        <v>543</v>
      </c>
      <c r="C23" s="115"/>
      <c r="D23" s="515">
        <v>0.25</v>
      </c>
      <c r="E23" s="516">
        <f t="shared" si="0"/>
        <v>0</v>
      </c>
      <c r="F23" s="511"/>
    </row>
    <row r="24" spans="1:6" x14ac:dyDescent="0.3">
      <c r="A24" s="68" t="s">
        <v>544</v>
      </c>
      <c r="B24" s="171" t="s">
        <v>545</v>
      </c>
      <c r="C24" s="115"/>
      <c r="D24" s="515">
        <v>2.4E-2</v>
      </c>
      <c r="E24" s="516">
        <f t="shared" si="0"/>
        <v>0</v>
      </c>
      <c r="F24" s="511"/>
    </row>
    <row r="25" spans="1:6" x14ac:dyDescent="0.3">
      <c r="A25" s="171"/>
      <c r="B25" s="171" t="s">
        <v>542</v>
      </c>
      <c r="C25" s="115"/>
      <c r="D25" s="515">
        <v>4.8000000000000001E-2</v>
      </c>
      <c r="E25" s="516">
        <f t="shared" si="0"/>
        <v>0</v>
      </c>
      <c r="F25" s="511"/>
    </row>
    <row r="26" spans="1:6" x14ac:dyDescent="0.3">
      <c r="A26" s="171"/>
      <c r="B26" s="171" t="s">
        <v>546</v>
      </c>
      <c r="C26" s="115"/>
      <c r="D26" s="515">
        <v>7.1999999999999995E-2</v>
      </c>
      <c r="E26" s="516">
        <f t="shared" si="0"/>
        <v>0</v>
      </c>
      <c r="F26" s="511"/>
    </row>
    <row r="27" spans="1:6" x14ac:dyDescent="0.3">
      <c r="A27" s="171"/>
      <c r="B27" s="171" t="s">
        <v>543</v>
      </c>
      <c r="C27" s="115"/>
      <c r="D27" s="515">
        <v>0.13200000000000001</v>
      </c>
      <c r="E27" s="516">
        <f t="shared" si="0"/>
        <v>0</v>
      </c>
      <c r="F27" s="511"/>
    </row>
    <row r="28" spans="1:6" x14ac:dyDescent="0.3">
      <c r="A28" s="423" t="s">
        <v>547</v>
      </c>
      <c r="B28" s="513"/>
      <c r="C28" s="523"/>
      <c r="D28" s="519"/>
      <c r="E28" s="518">
        <f>SUM(E21:E27)</f>
        <v>0</v>
      </c>
      <c r="F28" s="511"/>
    </row>
    <row r="29" spans="1:6" x14ac:dyDescent="0.3">
      <c r="A29" s="171" t="s">
        <v>548</v>
      </c>
      <c r="B29" s="171" t="s">
        <v>549</v>
      </c>
      <c r="C29" s="115"/>
      <c r="D29" s="515">
        <v>0.05</v>
      </c>
      <c r="E29" s="516">
        <f t="shared" si="0"/>
        <v>0</v>
      </c>
      <c r="F29" s="511"/>
    </row>
    <row r="30" spans="1:6" ht="16.2" x14ac:dyDescent="0.3">
      <c r="A30" s="171"/>
      <c r="B30" s="171" t="s">
        <v>550</v>
      </c>
      <c r="C30" s="115"/>
      <c r="D30" s="515">
        <v>0.15</v>
      </c>
      <c r="E30" s="516">
        <f t="shared" si="0"/>
        <v>0</v>
      </c>
      <c r="F30" s="511"/>
    </row>
    <row r="31" spans="1:6" x14ac:dyDescent="0.3">
      <c r="A31" s="423" t="s">
        <v>551</v>
      </c>
      <c r="B31" s="513"/>
      <c r="C31" s="523"/>
      <c r="D31" s="519"/>
      <c r="E31" s="518">
        <f>E29+E30</f>
        <v>0</v>
      </c>
      <c r="F31" s="511"/>
    </row>
    <row r="32" spans="1:6" x14ac:dyDescent="0.3">
      <c r="A32" s="171" t="s">
        <v>314</v>
      </c>
      <c r="B32" s="171" t="s">
        <v>541</v>
      </c>
      <c r="C32" s="115"/>
      <c r="D32" s="515">
        <v>7.0000000000000007E-2</v>
      </c>
      <c r="E32" s="516">
        <f t="shared" si="0"/>
        <v>0</v>
      </c>
      <c r="F32" s="511"/>
    </row>
    <row r="33" spans="1:6" x14ac:dyDescent="0.3">
      <c r="A33" s="171"/>
      <c r="B33" s="171" t="s">
        <v>542</v>
      </c>
      <c r="C33" s="115"/>
      <c r="D33" s="515">
        <v>2.4E-2</v>
      </c>
      <c r="E33" s="516">
        <f t="shared" si="0"/>
        <v>0</v>
      </c>
      <c r="F33" s="511"/>
    </row>
    <row r="34" spans="1:6" ht="16.2" x14ac:dyDescent="0.3">
      <c r="A34" s="14"/>
      <c r="B34" s="171" t="s">
        <v>106</v>
      </c>
      <c r="C34" s="115"/>
      <c r="D34" s="515">
        <v>0.28000000000000003</v>
      </c>
      <c r="E34" s="516">
        <f t="shared" si="0"/>
        <v>0</v>
      </c>
      <c r="F34" s="511"/>
    </row>
    <row r="35" spans="1:6" x14ac:dyDescent="0.3">
      <c r="A35" s="423" t="s">
        <v>552</v>
      </c>
      <c r="B35" s="423"/>
      <c r="C35" s="524"/>
      <c r="D35" s="520"/>
      <c r="E35" s="518">
        <f>E32+E33+E34</f>
        <v>0</v>
      </c>
      <c r="F35" s="511"/>
    </row>
    <row r="36" spans="1:6" ht="16.2" x14ac:dyDescent="0.3">
      <c r="A36" s="171" t="s">
        <v>553</v>
      </c>
      <c r="B36" s="171" t="s">
        <v>106</v>
      </c>
      <c r="C36" s="115"/>
      <c r="D36" s="515">
        <v>0.1</v>
      </c>
      <c r="E36" s="516">
        <f t="shared" si="0"/>
        <v>0</v>
      </c>
      <c r="F36" s="511"/>
    </row>
    <row r="37" spans="1:6" x14ac:dyDescent="0.3">
      <c r="A37" s="171"/>
      <c r="B37" s="171" t="s">
        <v>554</v>
      </c>
      <c r="C37" s="115"/>
      <c r="D37" s="515">
        <v>2.5000000000000001E-2</v>
      </c>
      <c r="E37" s="516">
        <f t="shared" si="0"/>
        <v>0</v>
      </c>
      <c r="F37" s="511"/>
    </row>
    <row r="38" spans="1:6" x14ac:dyDescent="0.3">
      <c r="A38" s="423" t="s">
        <v>555</v>
      </c>
      <c r="B38" s="423"/>
      <c r="C38" s="524"/>
      <c r="D38" s="520"/>
      <c r="E38" s="518">
        <f>E36+E37</f>
        <v>0</v>
      </c>
      <c r="F38" s="511"/>
    </row>
    <row r="39" spans="1:6" ht="16.2" x14ac:dyDescent="0.3">
      <c r="A39" s="171" t="s">
        <v>556</v>
      </c>
      <c r="B39" s="171" t="s">
        <v>106</v>
      </c>
      <c r="C39" s="115"/>
      <c r="D39" s="515">
        <v>0.1</v>
      </c>
      <c r="E39" s="516">
        <f>C39*D39</f>
        <v>0</v>
      </c>
      <c r="F39" s="511"/>
    </row>
    <row r="40" spans="1:6" ht="16.2" x14ac:dyDescent="0.3">
      <c r="A40" s="171" t="s">
        <v>513</v>
      </c>
      <c r="B40" s="171" t="s">
        <v>106</v>
      </c>
      <c r="C40" s="115"/>
      <c r="D40" s="515">
        <v>0.6</v>
      </c>
      <c r="E40" s="516">
        <f t="shared" si="0"/>
        <v>0</v>
      </c>
      <c r="F40" s="511"/>
    </row>
    <row r="41" spans="1:6" ht="16.2" x14ac:dyDescent="0.3">
      <c r="A41" s="171" t="s">
        <v>557</v>
      </c>
      <c r="B41" s="171" t="s">
        <v>106</v>
      </c>
      <c r="C41" s="115"/>
      <c r="D41" s="515">
        <v>0.33</v>
      </c>
      <c r="E41" s="516">
        <f t="shared" si="0"/>
        <v>0</v>
      </c>
      <c r="F41" s="511"/>
    </row>
    <row r="42" spans="1:6" ht="16.2" x14ac:dyDescent="0.3">
      <c r="A42" s="68" t="s">
        <v>558</v>
      </c>
      <c r="B42" s="171" t="s">
        <v>106</v>
      </c>
      <c r="C42" s="115"/>
      <c r="D42" s="515">
        <v>0.3</v>
      </c>
      <c r="E42" s="516">
        <f t="shared" si="0"/>
        <v>0</v>
      </c>
      <c r="F42" s="511"/>
    </row>
    <row r="43" spans="1:6" ht="16.2" x14ac:dyDescent="0.3">
      <c r="A43" s="92" t="s">
        <v>559</v>
      </c>
      <c r="B43" s="153" t="s">
        <v>106</v>
      </c>
      <c r="C43" s="112"/>
      <c r="D43" s="521">
        <v>0.18</v>
      </c>
      <c r="E43" s="516">
        <f t="shared" si="0"/>
        <v>0</v>
      </c>
      <c r="F43" s="511"/>
    </row>
    <row r="44" spans="1:6" x14ac:dyDescent="0.3">
      <c r="A44" s="423" t="s">
        <v>560</v>
      </c>
      <c r="B44" s="423"/>
      <c r="C44" s="525"/>
      <c r="D44" s="522"/>
      <c r="E44" s="518">
        <f>E42+E43</f>
        <v>0</v>
      </c>
      <c r="F44" s="511"/>
    </row>
  </sheetData>
  <sheetProtection algorithmName="SHA-512" hashValue="XQMHzg6lkvs+PvILUpS/3FrlgDXA+LAb70iXAje81nzTeaP4aOcm6Pu0L+1t7bbbXqktIozFvgaNs8H0bcehIA==" saltValue="dF+KSmc5dLecQGmhc848NQ==" spinCount="100000" sheet="1" objects="1" scenarios="1" formatCells="0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5"/>
  <sheetViews>
    <sheetView showGridLines="0" topLeftCell="A44" zoomScale="110" zoomScaleNormal="110" workbookViewId="0">
      <selection activeCell="B35" sqref="B35"/>
    </sheetView>
  </sheetViews>
  <sheetFormatPr defaultColWidth="9.5" defaultRowHeight="14.4" x14ac:dyDescent="0.3"/>
  <cols>
    <col min="1" max="1" width="36.19921875" style="2" customWidth="1"/>
    <col min="2" max="2" width="22.5" style="2" customWidth="1"/>
    <col min="3" max="3" width="11.69921875" style="2" customWidth="1"/>
    <col min="4" max="4" width="30.69921875" style="2" customWidth="1"/>
    <col min="5" max="5" width="47" style="2" customWidth="1"/>
    <col min="6" max="16384" width="9.5" style="2"/>
  </cols>
  <sheetData>
    <row r="1" spans="1:5" ht="23.4" x14ac:dyDescent="0.45">
      <c r="A1" s="41" t="s">
        <v>36</v>
      </c>
      <c r="B1" s="42"/>
      <c r="C1" s="42"/>
      <c r="D1" s="42"/>
      <c r="E1" s="42"/>
    </row>
    <row r="2" spans="1:5" ht="23.4" x14ac:dyDescent="0.45">
      <c r="A2" s="41"/>
      <c r="B2" s="42"/>
      <c r="C2" s="42"/>
      <c r="D2" s="42"/>
      <c r="E2" s="42"/>
    </row>
    <row r="3" spans="1:5" ht="18" x14ac:dyDescent="0.3">
      <c r="A3" s="43"/>
      <c r="B3" s="44"/>
      <c r="C3" s="44"/>
      <c r="D3" s="45"/>
      <c r="E3" s="46"/>
    </row>
    <row r="4" spans="1:5" x14ac:dyDescent="0.3">
      <c r="A4" s="10" t="s">
        <v>37</v>
      </c>
      <c r="B4" s="47"/>
      <c r="C4" s="47"/>
      <c r="D4" s="48"/>
      <c r="E4" s="46"/>
    </row>
    <row r="5" spans="1:5" ht="15.6" x14ac:dyDescent="0.3">
      <c r="A5" s="49"/>
      <c r="B5" s="50"/>
      <c r="C5" s="50"/>
      <c r="D5" s="51"/>
      <c r="E5" s="46"/>
    </row>
    <row r="6" spans="1:5" ht="18" x14ac:dyDescent="0.3">
      <c r="A6" s="52"/>
      <c r="B6" s="42"/>
      <c r="C6" s="42"/>
      <c r="D6" s="42"/>
      <c r="E6" s="42"/>
    </row>
    <row r="7" spans="1:5" ht="18" x14ac:dyDescent="0.3">
      <c r="A7" s="53" t="s">
        <v>38</v>
      </c>
      <c r="D7" s="28"/>
    </row>
    <row r="8" spans="1:5" x14ac:dyDescent="0.3">
      <c r="A8" s="54" t="s">
        <v>39</v>
      </c>
      <c r="B8" s="652"/>
      <c r="C8" s="653"/>
      <c r="D8" s="654"/>
    </row>
    <row r="9" spans="1:5" x14ac:dyDescent="0.3">
      <c r="A9" s="54" t="s">
        <v>40</v>
      </c>
      <c r="B9" s="597"/>
      <c r="C9" s="598"/>
      <c r="D9" s="599"/>
    </row>
    <row r="10" spans="1:5" x14ac:dyDescent="0.3">
      <c r="A10" s="54" t="s">
        <v>41</v>
      </c>
      <c r="B10" s="652"/>
      <c r="C10" s="653"/>
      <c r="D10" s="654"/>
    </row>
    <row r="11" spans="1:5" x14ac:dyDescent="0.3">
      <c r="A11" s="54" t="s">
        <v>42</v>
      </c>
      <c r="B11" s="655"/>
      <c r="C11" s="656"/>
      <c r="D11" s="657"/>
    </row>
    <row r="12" spans="1:5" x14ac:dyDescent="0.3">
      <c r="A12" s="55" t="s">
        <v>43</v>
      </c>
      <c r="B12" s="600"/>
      <c r="C12" s="601"/>
      <c r="D12" s="602"/>
    </row>
    <row r="13" spans="1:5" x14ac:dyDescent="0.3">
      <c r="A13" s="56" t="s">
        <v>44</v>
      </c>
      <c r="B13" s="603"/>
      <c r="C13" s="57" t="s">
        <v>45</v>
      </c>
      <c r="D13" s="604"/>
    </row>
    <row r="14" spans="1:5" x14ac:dyDescent="0.3">
      <c r="A14" s="56" t="s">
        <v>46</v>
      </c>
      <c r="B14" s="605"/>
      <c r="C14" s="58" t="s">
        <v>47</v>
      </c>
      <c r="D14" s="604"/>
      <c r="E14" s="29"/>
    </row>
    <row r="15" spans="1:5" x14ac:dyDescent="0.3">
      <c r="A15" s="59" t="s">
        <v>48</v>
      </c>
      <c r="B15" s="606"/>
      <c r="C15" s="58" t="s">
        <v>49</v>
      </c>
      <c r="D15" s="604"/>
      <c r="E15" s="29"/>
    </row>
    <row r="16" spans="1:5" ht="16.2" x14ac:dyDescent="0.3">
      <c r="A16" s="56" t="s">
        <v>50</v>
      </c>
      <c r="B16" s="607"/>
      <c r="C16" s="60" t="s">
        <v>51</v>
      </c>
      <c r="D16" s="608"/>
      <c r="E16" s="29"/>
    </row>
    <row r="17" spans="1:5" x14ac:dyDescent="0.3">
      <c r="A17" s="61" t="s">
        <v>52</v>
      </c>
      <c r="B17" s="597"/>
      <c r="C17" s="609"/>
      <c r="D17" s="608"/>
    </row>
    <row r="19" spans="1:5" ht="18" x14ac:dyDescent="0.3">
      <c r="A19" s="62" t="s">
        <v>53</v>
      </c>
    </row>
    <row r="20" spans="1:5" ht="28.8" x14ac:dyDescent="0.3">
      <c r="A20" s="63"/>
      <c r="B20" s="64"/>
      <c r="C20" s="65" t="s">
        <v>54</v>
      </c>
      <c r="D20" s="66" t="s">
        <v>55</v>
      </c>
      <c r="E20" s="67" t="s">
        <v>56</v>
      </c>
    </row>
    <row r="21" spans="1:5" ht="15.6" x14ac:dyDescent="0.3">
      <c r="A21" s="68" t="s">
        <v>57</v>
      </c>
      <c r="B21" s="69">
        <f>D.!B19</f>
        <v>0</v>
      </c>
      <c r="C21" s="70" t="s">
        <v>58</v>
      </c>
      <c r="D21" s="71"/>
      <c r="E21" s="658" t="s">
        <v>59</v>
      </c>
    </row>
    <row r="22" spans="1:5" ht="15.6" x14ac:dyDescent="0.3">
      <c r="A22" s="68" t="s">
        <v>60</v>
      </c>
      <c r="B22" s="69">
        <f>D.!B26</f>
        <v>0</v>
      </c>
      <c r="C22" s="70" t="s">
        <v>58</v>
      </c>
      <c r="D22" s="71"/>
      <c r="E22" s="659"/>
    </row>
    <row r="23" spans="1:5" ht="15.6" x14ac:dyDescent="0.3">
      <c r="A23" s="68" t="s">
        <v>61</v>
      </c>
      <c r="B23" s="69">
        <f>D.!B29</f>
        <v>0</v>
      </c>
      <c r="C23" s="70" t="s">
        <v>62</v>
      </c>
      <c r="D23" s="71"/>
      <c r="E23" s="660"/>
    </row>
    <row r="24" spans="1:5" ht="30" x14ac:dyDescent="0.3">
      <c r="A24" s="73" t="s">
        <v>63</v>
      </c>
      <c r="B24" s="74" t="e">
        <f>(1000000*B23)/B13</f>
        <v>#DIV/0!</v>
      </c>
      <c r="C24" s="75" t="s">
        <v>64</v>
      </c>
      <c r="D24" s="76"/>
      <c r="E24" s="72" t="s">
        <v>65</v>
      </c>
    </row>
    <row r="25" spans="1:5" ht="28.8" x14ac:dyDescent="0.3">
      <c r="A25" s="68" t="s">
        <v>66</v>
      </c>
      <c r="B25" s="74">
        <f>F.!B19</f>
        <v>0</v>
      </c>
      <c r="C25" s="70" t="s">
        <v>62</v>
      </c>
      <c r="D25" s="76"/>
      <c r="E25" s="72" t="s">
        <v>67</v>
      </c>
    </row>
    <row r="26" spans="1:5" ht="30" x14ac:dyDescent="0.3">
      <c r="A26" s="72" t="s">
        <v>68</v>
      </c>
      <c r="B26" s="77" t="e">
        <f>(1000000*B25)/B13</f>
        <v>#DIV/0!</v>
      </c>
      <c r="C26" s="78" t="s">
        <v>69</v>
      </c>
      <c r="D26" s="79"/>
      <c r="E26" s="72" t="s">
        <v>65</v>
      </c>
    </row>
    <row r="27" spans="1:5" ht="28.8" x14ac:dyDescent="0.3">
      <c r="A27" s="72" t="s">
        <v>70</v>
      </c>
      <c r="B27" s="80">
        <f>'C.'!B24+G.!B16</f>
        <v>0</v>
      </c>
      <c r="C27" s="81" t="s">
        <v>71</v>
      </c>
      <c r="D27" s="82"/>
      <c r="E27" s="72" t="s">
        <v>72</v>
      </c>
    </row>
    <row r="28" spans="1:5" x14ac:dyDescent="0.3">
      <c r="A28" s="72" t="s">
        <v>73</v>
      </c>
      <c r="B28" s="80">
        <f>'C.'!B39</f>
        <v>0</v>
      </c>
      <c r="C28" s="81" t="s">
        <v>71</v>
      </c>
      <c r="D28" s="82"/>
      <c r="E28" s="72" t="s">
        <v>74</v>
      </c>
    </row>
    <row r="29" spans="1:5" x14ac:dyDescent="0.3">
      <c r="A29" s="72" t="s">
        <v>75</v>
      </c>
      <c r="B29" s="80">
        <f>'C.'!B54</f>
        <v>0</v>
      </c>
      <c r="C29" s="81" t="s">
        <v>71</v>
      </c>
      <c r="D29" s="82"/>
      <c r="E29" s="72" t="s">
        <v>74</v>
      </c>
    </row>
    <row r="30" spans="1:5" x14ac:dyDescent="0.3">
      <c r="A30" s="72" t="s">
        <v>76</v>
      </c>
      <c r="B30" s="80">
        <f>'C.'!C72</f>
        <v>0</v>
      </c>
      <c r="C30" s="81" t="s">
        <v>71</v>
      </c>
      <c r="D30" s="82"/>
      <c r="E30" s="72" t="s">
        <v>74</v>
      </c>
    </row>
    <row r="31" spans="1:5" x14ac:dyDescent="0.3">
      <c r="A31" s="72" t="s">
        <v>77</v>
      </c>
      <c r="B31" s="83">
        <f>B27+B28+B29+B30</f>
        <v>0</v>
      </c>
      <c r="C31" s="84" t="s">
        <v>71</v>
      </c>
      <c r="D31" s="85"/>
      <c r="E31" s="72"/>
    </row>
    <row r="32" spans="1:5" ht="28.8" x14ac:dyDescent="0.3">
      <c r="A32" s="72" t="s">
        <v>78</v>
      </c>
      <c r="B32" s="80" t="e">
        <f>('C.'!C37+G.!B16)/('C.'!B24+G.!B16)*100</f>
        <v>#DIV/0!</v>
      </c>
      <c r="C32" s="81" t="s">
        <v>79</v>
      </c>
      <c r="D32" s="82"/>
      <c r="E32" s="72" t="s">
        <v>80</v>
      </c>
    </row>
    <row r="33" spans="1:5" ht="28.8" x14ac:dyDescent="0.3">
      <c r="A33" s="72" t="s">
        <v>81</v>
      </c>
      <c r="B33" s="80" t="e">
        <f>'C.'!C52/'C.'!B39*100</f>
        <v>#DIV/0!</v>
      </c>
      <c r="C33" s="81" t="s">
        <v>79</v>
      </c>
      <c r="D33" s="82"/>
      <c r="E33" s="72" t="s">
        <v>80</v>
      </c>
    </row>
    <row r="34" spans="1:5" ht="28.8" x14ac:dyDescent="0.3">
      <c r="A34" s="72" t="s">
        <v>82</v>
      </c>
      <c r="B34" s="80" t="e">
        <f>'C.'!D72/'C.'!C72*100</f>
        <v>#DIV/0!</v>
      </c>
      <c r="C34" s="86" t="s">
        <v>79</v>
      </c>
      <c r="D34" s="87"/>
      <c r="E34" s="72"/>
    </row>
    <row r="35" spans="1:5" ht="28.8" x14ac:dyDescent="0.3">
      <c r="A35" s="72" t="s">
        <v>83</v>
      </c>
      <c r="B35" s="88" t="e">
        <f>('C.'!C37+G.!B16+G.!B19+'C.'!C52+'C.'!D72)/('B. Yhteenveto'!B27+'B. Yhteenveto'!B28+B29+'B. Yhteenveto'!B30)*100</f>
        <v>#DIV/0!</v>
      </c>
      <c r="C35" s="86" t="s">
        <v>79</v>
      </c>
      <c r="D35" s="87"/>
      <c r="E35" s="72" t="s">
        <v>84</v>
      </c>
    </row>
    <row r="36" spans="1:5" hidden="1" x14ac:dyDescent="0.3">
      <c r="A36" s="72" t="s">
        <v>85</v>
      </c>
      <c r="B36" s="77" t="e">
        <f>H.!B13</f>
        <v>#DIV/0!</v>
      </c>
      <c r="C36" s="89" t="s">
        <v>79</v>
      </c>
      <c r="D36" s="79"/>
      <c r="E36" s="90" t="s">
        <v>86</v>
      </c>
    </row>
    <row r="37" spans="1:5" hidden="1" x14ac:dyDescent="0.3">
      <c r="A37" s="72" t="s">
        <v>87</v>
      </c>
      <c r="B37" s="77" t="e">
        <f>H.!B20</f>
        <v>#DIV/0!</v>
      </c>
      <c r="C37" s="89" t="s">
        <v>79</v>
      </c>
      <c r="D37" s="79"/>
      <c r="E37" s="90" t="s">
        <v>86</v>
      </c>
    </row>
    <row r="38" spans="1:5" hidden="1" x14ac:dyDescent="0.3">
      <c r="A38" s="72" t="s">
        <v>88</v>
      </c>
      <c r="B38" s="77" t="e">
        <f>H.!B27</f>
        <v>#DIV/0!</v>
      </c>
      <c r="C38" s="89" t="s">
        <v>79</v>
      </c>
      <c r="D38" s="79"/>
      <c r="E38" s="90" t="s">
        <v>86</v>
      </c>
    </row>
    <row r="39" spans="1:5" hidden="1" x14ac:dyDescent="0.3">
      <c r="A39" s="90" t="s">
        <v>89</v>
      </c>
      <c r="B39" s="77" t="e">
        <f>H.!B40</f>
        <v>#DIV/0!</v>
      </c>
      <c r="C39" s="89" t="s">
        <v>79</v>
      </c>
      <c r="D39" s="79"/>
      <c r="E39" s="90" t="s">
        <v>86</v>
      </c>
    </row>
    <row r="40" spans="1:5" ht="43.2" x14ac:dyDescent="0.3">
      <c r="A40" s="90" t="s">
        <v>90</v>
      </c>
      <c r="B40" s="77" t="e">
        <f>J.!B38</f>
        <v>#DIV/0!</v>
      </c>
      <c r="C40" s="89" t="s">
        <v>79</v>
      </c>
      <c r="D40" s="79"/>
      <c r="E40" s="72" t="s">
        <v>91</v>
      </c>
    </row>
    <row r="41" spans="1:5" ht="28.8" x14ac:dyDescent="0.3">
      <c r="A41" s="90" t="s">
        <v>92</v>
      </c>
      <c r="B41" s="91"/>
      <c r="C41" s="89" t="s">
        <v>79</v>
      </c>
      <c r="D41" s="79"/>
      <c r="E41" s="72" t="s">
        <v>93</v>
      </c>
    </row>
    <row r="42" spans="1:5" ht="28.8" x14ac:dyDescent="0.3">
      <c r="A42" s="90" t="s">
        <v>94</v>
      </c>
      <c r="B42" s="91"/>
      <c r="C42" s="89" t="s">
        <v>79</v>
      </c>
      <c r="D42" s="79"/>
      <c r="E42" s="72" t="s">
        <v>95</v>
      </c>
    </row>
    <row r="43" spans="1:5" ht="57.6" x14ac:dyDescent="0.3">
      <c r="A43" s="92" t="s">
        <v>96</v>
      </c>
      <c r="B43" s="93">
        <f>J.!B37</f>
        <v>0</v>
      </c>
      <c r="C43" s="94" t="s">
        <v>97</v>
      </c>
      <c r="D43" s="95"/>
      <c r="E43" s="72" t="s">
        <v>98</v>
      </c>
    </row>
    <row r="44" spans="1:5" ht="28.8" x14ac:dyDescent="0.3">
      <c r="A44" s="92" t="s">
        <v>99</v>
      </c>
      <c r="B44" s="93" t="e">
        <f>(1000000*B43)/B13</f>
        <v>#DIV/0!</v>
      </c>
      <c r="C44" s="94" t="s">
        <v>100</v>
      </c>
      <c r="D44" s="95"/>
      <c r="E44" s="72" t="s">
        <v>101</v>
      </c>
    </row>
    <row r="45" spans="1:5" ht="43.2" x14ac:dyDescent="0.3">
      <c r="A45" s="92" t="s">
        <v>102</v>
      </c>
      <c r="B45" s="96">
        <f>I.!F21</f>
        <v>0</v>
      </c>
      <c r="C45" s="94" t="s">
        <v>103</v>
      </c>
      <c r="D45" s="95"/>
      <c r="E45" s="72" t="s">
        <v>104</v>
      </c>
    </row>
    <row r="46" spans="1:5" ht="28.8" x14ac:dyDescent="0.3">
      <c r="A46" s="90" t="s">
        <v>105</v>
      </c>
      <c r="B46" s="91"/>
      <c r="C46" s="89" t="s">
        <v>106</v>
      </c>
      <c r="D46" s="97"/>
      <c r="E46" s="72" t="s">
        <v>107</v>
      </c>
    </row>
    <row r="47" spans="1:5" x14ac:dyDescent="0.3">
      <c r="A47" s="98"/>
      <c r="C47" s="99"/>
    </row>
    <row r="48" spans="1:5" ht="18" x14ac:dyDescent="0.3">
      <c r="A48" s="53" t="s">
        <v>108</v>
      </c>
      <c r="C48" s="99"/>
    </row>
    <row r="49" spans="1:5" ht="18" x14ac:dyDescent="0.35">
      <c r="A49" s="14" t="s">
        <v>109</v>
      </c>
      <c r="B49" s="32"/>
      <c r="C49" s="32"/>
      <c r="D49" s="32"/>
    </row>
    <row r="50" spans="1:5" ht="28.8" x14ac:dyDescent="0.35">
      <c r="A50" s="100"/>
      <c r="B50" s="101"/>
      <c r="C50" s="65" t="s">
        <v>54</v>
      </c>
      <c r="D50" s="102" t="s">
        <v>55</v>
      </c>
    </row>
    <row r="51" spans="1:5" ht="28.8" x14ac:dyDescent="0.3">
      <c r="A51" s="72" t="s">
        <v>110</v>
      </c>
      <c r="B51" s="103"/>
      <c r="C51" s="89" t="s">
        <v>97</v>
      </c>
      <c r="D51" s="104"/>
    </row>
    <row r="52" spans="1:5" x14ac:dyDescent="0.3">
      <c r="A52" s="72" t="s">
        <v>111</v>
      </c>
      <c r="B52" s="103"/>
      <c r="C52" s="89" t="s">
        <v>97</v>
      </c>
      <c r="D52" s="104"/>
    </row>
    <row r="53" spans="1:5" x14ac:dyDescent="0.3">
      <c r="A53" s="72" t="s">
        <v>112</v>
      </c>
      <c r="B53" s="103"/>
      <c r="C53" s="89" t="s">
        <v>97</v>
      </c>
      <c r="D53" s="97"/>
    </row>
    <row r="54" spans="1:5" x14ac:dyDescent="0.3">
      <c r="A54" s="72" t="s">
        <v>113</v>
      </c>
      <c r="B54" s="103"/>
      <c r="C54" s="89" t="s">
        <v>97</v>
      </c>
      <c r="D54" s="97"/>
    </row>
    <row r="55" spans="1:5" x14ac:dyDescent="0.3">
      <c r="A55" s="72" t="s">
        <v>114</v>
      </c>
      <c r="B55" s="103"/>
      <c r="C55" s="89" t="s">
        <v>97</v>
      </c>
      <c r="D55" s="97"/>
    </row>
    <row r="56" spans="1:5" x14ac:dyDescent="0.3">
      <c r="A56" s="14"/>
    </row>
    <row r="57" spans="1:5" ht="18" x14ac:dyDescent="0.3">
      <c r="A57" s="62" t="s">
        <v>115</v>
      </c>
    </row>
    <row r="58" spans="1:5" ht="28.8" x14ac:dyDescent="0.35">
      <c r="A58" s="100"/>
      <c r="B58" s="101"/>
      <c r="C58" s="65" t="s">
        <v>54</v>
      </c>
      <c r="D58" s="102" t="s">
        <v>55</v>
      </c>
      <c r="E58" s="67" t="s">
        <v>56</v>
      </c>
    </row>
    <row r="59" spans="1:5" ht="28.8" x14ac:dyDescent="0.3">
      <c r="A59" s="72" t="s">
        <v>116</v>
      </c>
      <c r="B59" s="105">
        <f>G.!B16</f>
        <v>0</v>
      </c>
      <c r="C59" s="89" t="s">
        <v>71</v>
      </c>
      <c r="D59" s="97"/>
      <c r="E59" s="72" t="s">
        <v>117</v>
      </c>
    </row>
    <row r="60" spans="1:5" ht="28.8" x14ac:dyDescent="0.3">
      <c r="A60" s="72" t="s">
        <v>118</v>
      </c>
      <c r="B60" s="106">
        <f>G.!D16</f>
        <v>0</v>
      </c>
      <c r="C60" s="89" t="s">
        <v>58</v>
      </c>
      <c r="D60" s="79"/>
      <c r="E60" s="72" t="s">
        <v>119</v>
      </c>
    </row>
    <row r="61" spans="1:5" ht="28.8" x14ac:dyDescent="0.3">
      <c r="A61" s="72" t="s">
        <v>120</v>
      </c>
      <c r="B61" s="625">
        <f>G.!D19</f>
        <v>0</v>
      </c>
      <c r="C61" s="89"/>
      <c r="D61" s="79"/>
      <c r="E61" s="72"/>
    </row>
    <row r="62" spans="1:5" ht="28.8" x14ac:dyDescent="0.3">
      <c r="A62" s="72" t="s">
        <v>121</v>
      </c>
      <c r="B62" s="106">
        <f>G.!D27</f>
        <v>0</v>
      </c>
      <c r="C62" s="89" t="s">
        <v>58</v>
      </c>
      <c r="D62" s="79"/>
      <c r="E62" s="72" t="s">
        <v>119</v>
      </c>
    </row>
    <row r="63" spans="1:5" hidden="1" x14ac:dyDescent="0.3">
      <c r="A63" s="107" t="s">
        <v>122</v>
      </c>
      <c r="B63" s="108"/>
      <c r="C63" s="109" t="s">
        <v>123</v>
      </c>
      <c r="D63" s="110"/>
      <c r="E63" s="90"/>
    </row>
    <row r="64" spans="1:5" x14ac:dyDescent="0.3">
      <c r="A64" s="111" t="s">
        <v>124</v>
      </c>
      <c r="B64" s="112"/>
      <c r="C64" s="113"/>
      <c r="D64" s="95"/>
      <c r="E64" s="90"/>
    </row>
    <row r="65" spans="1:5" x14ac:dyDescent="0.3">
      <c r="A65" s="114" t="s">
        <v>125</v>
      </c>
      <c r="B65" s="115"/>
      <c r="C65" s="116"/>
      <c r="D65" s="117"/>
      <c r="E65" s="90"/>
    </row>
    <row r="66" spans="1:5" x14ac:dyDescent="0.3">
      <c r="A66" s="14"/>
    </row>
    <row r="67" spans="1:5" ht="18" hidden="1" x14ac:dyDescent="0.3">
      <c r="A67" s="62" t="s">
        <v>126</v>
      </c>
      <c r="D67" s="118"/>
    </row>
    <row r="68" spans="1:5" hidden="1" x14ac:dyDescent="0.3">
      <c r="A68" s="124" t="s">
        <v>127</v>
      </c>
      <c r="B68" s="125"/>
      <c r="C68" s="125"/>
      <c r="D68" s="126"/>
      <c r="E68" s="125"/>
    </row>
    <row r="69" spans="1:5" hidden="1" x14ac:dyDescent="0.3">
      <c r="A69" s="72" t="s">
        <v>128</v>
      </c>
      <c r="B69" s="119"/>
      <c r="C69" s="120"/>
      <c r="D69" s="118"/>
    </row>
    <row r="70" spans="1:5" ht="28.8" hidden="1" x14ac:dyDescent="0.3">
      <c r="A70" s="127" t="s">
        <v>129</v>
      </c>
      <c r="B70" s="119"/>
      <c r="C70" s="120"/>
      <c r="D70" s="118"/>
    </row>
    <row r="71" spans="1:5" hidden="1" x14ac:dyDescent="0.3">
      <c r="A71" s="72" t="s">
        <v>130</v>
      </c>
      <c r="B71" s="119"/>
      <c r="C71" s="121"/>
    </row>
    <row r="72" spans="1:5" hidden="1" x14ac:dyDescent="0.3">
      <c r="A72" s="72" t="s">
        <v>131</v>
      </c>
      <c r="B72" s="119"/>
      <c r="C72" s="122"/>
    </row>
    <row r="73" spans="1:5" hidden="1" x14ac:dyDescent="0.3">
      <c r="A73" s="72" t="s">
        <v>132</v>
      </c>
      <c r="B73" s="119"/>
      <c r="C73" s="123"/>
    </row>
    <row r="74" spans="1:5" hidden="1" x14ac:dyDescent="0.3">
      <c r="A74" s="72" t="s">
        <v>133</v>
      </c>
      <c r="B74" s="119"/>
      <c r="C74" s="123"/>
    </row>
    <row r="75" spans="1:5" hidden="1" x14ac:dyDescent="0.3">
      <c r="A75" s="72" t="s">
        <v>134</v>
      </c>
      <c r="B75" s="119"/>
      <c r="C75" s="123"/>
    </row>
  </sheetData>
  <sheetProtection formatCells="0"/>
  <mergeCells count="4">
    <mergeCell ref="B8:D8"/>
    <mergeCell ref="B10:D10"/>
    <mergeCell ref="B11:D11"/>
    <mergeCell ref="E21:E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3"/>
  <sheetViews>
    <sheetView showGridLines="0" tabSelected="1" topLeftCell="A3" zoomScaleNormal="100" workbookViewId="0">
      <selection activeCell="A9" sqref="A9:C9"/>
    </sheetView>
  </sheetViews>
  <sheetFormatPr defaultColWidth="8.69921875" defaultRowHeight="14.4" x14ac:dyDescent="0.3"/>
  <cols>
    <col min="1" max="1" width="52.5" style="2" customWidth="1"/>
    <col min="2" max="2" width="19" style="99" customWidth="1"/>
    <col min="3" max="3" width="46" style="2" customWidth="1"/>
    <col min="4" max="4" width="29" style="2" customWidth="1"/>
    <col min="5" max="5" width="20.5" style="2" customWidth="1"/>
    <col min="6" max="7" width="14.5" style="2" customWidth="1"/>
    <col min="8" max="8" width="29.5" style="2" customWidth="1"/>
    <col min="9" max="9" width="14.5" style="2" customWidth="1"/>
    <col min="10" max="11" width="8.69921875" style="2"/>
    <col min="12" max="12" width="19.5" style="2" bestFit="1" customWidth="1"/>
    <col min="13" max="13" width="17.5" style="2" bestFit="1" customWidth="1"/>
    <col min="14" max="16384" width="8.69921875" style="2"/>
  </cols>
  <sheetData>
    <row r="1" spans="1:3" ht="40.200000000000003" customHeight="1" x14ac:dyDescent="0.45">
      <c r="A1" s="41" t="s">
        <v>135</v>
      </c>
    </row>
    <row r="2" spans="1:3" ht="15" customHeight="1" x14ac:dyDescent="0.45">
      <c r="A2" s="41"/>
    </row>
    <row r="3" spans="1:3" ht="18" x14ac:dyDescent="0.35">
      <c r="A3" s="128"/>
      <c r="B3" s="129"/>
      <c r="C3" s="130"/>
    </row>
    <row r="4" spans="1:3" x14ac:dyDescent="0.3">
      <c r="A4" s="131" t="s">
        <v>136</v>
      </c>
      <c r="B4" s="132"/>
      <c r="C4" s="133"/>
    </row>
    <row r="5" spans="1:3" x14ac:dyDescent="0.3">
      <c r="A5" s="131" t="s">
        <v>137</v>
      </c>
      <c r="B5" s="132"/>
      <c r="C5" s="134"/>
    </row>
    <row r="6" spans="1:3" x14ac:dyDescent="0.3">
      <c r="A6" s="131" t="s">
        <v>138</v>
      </c>
      <c r="B6" s="132"/>
      <c r="C6" s="134"/>
    </row>
    <row r="7" spans="1:3" ht="15.6" x14ac:dyDescent="0.3">
      <c r="A7" s="135"/>
      <c r="B7" s="136"/>
      <c r="C7" s="137"/>
    </row>
    <row r="8" spans="1:3" ht="15" customHeight="1" x14ac:dyDescent="0.3"/>
    <row r="9" spans="1:3" ht="30" customHeight="1" x14ac:dyDescent="0.3">
      <c r="A9" s="661" t="s">
        <v>139</v>
      </c>
      <c r="B9" s="662"/>
      <c r="C9" s="663"/>
    </row>
    <row r="10" spans="1:3" ht="30" customHeight="1" x14ac:dyDescent="0.3">
      <c r="A10" s="138" t="s">
        <v>140</v>
      </c>
      <c r="B10" s="139" t="s">
        <v>141</v>
      </c>
      <c r="C10" s="140" t="s">
        <v>142</v>
      </c>
    </row>
    <row r="11" spans="1:3" x14ac:dyDescent="0.3">
      <c r="A11" s="141" t="s">
        <v>143</v>
      </c>
      <c r="B11" s="142"/>
      <c r="C11" s="143"/>
    </row>
    <row r="12" spans="1:3" x14ac:dyDescent="0.3">
      <c r="A12" s="144" t="s">
        <v>144</v>
      </c>
      <c r="B12" s="142"/>
      <c r="C12" s="143"/>
    </row>
    <row r="13" spans="1:3" x14ac:dyDescent="0.3">
      <c r="A13" s="144" t="s">
        <v>145</v>
      </c>
      <c r="B13" s="142"/>
      <c r="C13" s="145"/>
    </row>
    <row r="14" spans="1:3" x14ac:dyDescent="0.3">
      <c r="A14" s="90" t="s">
        <v>146</v>
      </c>
      <c r="B14" s="142"/>
      <c r="C14" s="548"/>
    </row>
    <row r="15" spans="1:3" x14ac:dyDescent="0.3">
      <c r="A15" s="90" t="s">
        <v>147</v>
      </c>
      <c r="B15" s="142"/>
      <c r="C15" s="548"/>
    </row>
    <row r="16" spans="1:3" ht="30" customHeight="1" x14ac:dyDescent="0.3">
      <c r="A16" s="146" t="s">
        <v>140</v>
      </c>
      <c r="B16" s="147" t="s">
        <v>148</v>
      </c>
      <c r="C16" s="148"/>
    </row>
    <row r="17" spans="1:3" x14ac:dyDescent="0.3">
      <c r="A17" s="90" t="s">
        <v>149</v>
      </c>
      <c r="B17" s="149"/>
      <c r="C17" s="150"/>
    </row>
    <row r="18" spans="1:3" x14ac:dyDescent="0.3">
      <c r="A18" s="151" t="s">
        <v>150</v>
      </c>
      <c r="B18" s="149"/>
      <c r="C18" s="152"/>
    </row>
    <row r="19" spans="1:3" x14ac:dyDescent="0.3">
      <c r="A19" s="153" t="s">
        <v>151</v>
      </c>
      <c r="B19" s="154"/>
      <c r="C19" s="152"/>
    </row>
    <row r="20" spans="1:3" ht="15" customHeight="1" x14ac:dyDescent="0.3">
      <c r="A20" s="155" t="s">
        <v>152</v>
      </c>
      <c r="B20" s="142"/>
      <c r="C20" s="104"/>
    </row>
    <row r="21" spans="1:3" x14ac:dyDescent="0.3">
      <c r="A21" s="156"/>
      <c r="B21" s="157"/>
      <c r="C21" s="158"/>
    </row>
    <row r="22" spans="1:3" ht="30" customHeight="1" x14ac:dyDescent="0.3">
      <c r="A22" s="159" t="s">
        <v>153</v>
      </c>
      <c r="B22" s="160"/>
      <c r="C22" s="161"/>
    </row>
    <row r="23" spans="1:3" ht="30" customHeight="1" x14ac:dyDescent="0.3">
      <c r="A23" s="162" t="s">
        <v>154</v>
      </c>
      <c r="B23" s="163" t="s">
        <v>155</v>
      </c>
      <c r="C23" s="164" t="s">
        <v>142</v>
      </c>
    </row>
    <row r="24" spans="1:3" x14ac:dyDescent="0.3">
      <c r="A24" s="165" t="s">
        <v>156</v>
      </c>
      <c r="B24" s="166"/>
      <c r="C24" s="212"/>
    </row>
    <row r="25" spans="1:3" ht="32.25" customHeight="1" x14ac:dyDescent="0.3">
      <c r="A25" s="167" t="s">
        <v>157</v>
      </c>
      <c r="B25" s="166"/>
      <c r="C25" s="213"/>
    </row>
    <row r="26" spans="1:3" ht="30" customHeight="1" x14ac:dyDescent="0.3">
      <c r="A26" s="67" t="s">
        <v>158</v>
      </c>
      <c r="B26" s="168" t="s">
        <v>79</v>
      </c>
      <c r="C26" s="67" t="s">
        <v>159</v>
      </c>
    </row>
    <row r="27" spans="1:3" x14ac:dyDescent="0.3">
      <c r="A27" s="72" t="s">
        <v>160</v>
      </c>
      <c r="B27" s="169"/>
      <c r="C27" s="170">
        <f>(B27/100)*B24</f>
        <v>0</v>
      </c>
    </row>
    <row r="28" spans="1:3" x14ac:dyDescent="0.3">
      <c r="A28" s="72" t="s">
        <v>161</v>
      </c>
      <c r="B28" s="169"/>
      <c r="C28" s="170">
        <f>(B28/100)*B24</f>
        <v>0</v>
      </c>
    </row>
    <row r="29" spans="1:3" x14ac:dyDescent="0.3">
      <c r="A29" s="68" t="s">
        <v>162</v>
      </c>
      <c r="B29" s="169"/>
      <c r="C29" s="170">
        <f>(B29/100)*B24</f>
        <v>0</v>
      </c>
    </row>
    <row r="30" spans="1:3" x14ac:dyDescent="0.3">
      <c r="A30" s="153" t="s">
        <v>163</v>
      </c>
      <c r="B30" s="169"/>
      <c r="C30" s="170">
        <f>(B30/100)*B24</f>
        <v>0</v>
      </c>
    </row>
    <row r="31" spans="1:3" x14ac:dyDescent="0.3">
      <c r="A31" s="72" t="s">
        <v>164</v>
      </c>
      <c r="B31" s="169"/>
      <c r="C31" s="170">
        <f>(B31/100)*B24</f>
        <v>0</v>
      </c>
    </row>
    <row r="32" spans="1:3" x14ac:dyDescent="0.3">
      <c r="A32" s="72" t="s">
        <v>165</v>
      </c>
      <c r="B32" s="169"/>
      <c r="C32" s="170">
        <f>(B32/100)*B24</f>
        <v>0</v>
      </c>
    </row>
    <row r="33" spans="1:3" x14ac:dyDescent="0.3">
      <c r="A33" s="107" t="s">
        <v>166</v>
      </c>
      <c r="B33" s="169"/>
      <c r="C33" s="170">
        <f>(B33/100)*B24</f>
        <v>0</v>
      </c>
    </row>
    <row r="34" spans="1:3" x14ac:dyDescent="0.3">
      <c r="A34" s="171" t="s">
        <v>167</v>
      </c>
      <c r="B34" s="169"/>
      <c r="C34" s="170">
        <f>(B34/100)*B24</f>
        <v>0</v>
      </c>
    </row>
    <row r="35" spans="1:3" x14ac:dyDescent="0.3">
      <c r="A35" s="153" t="s">
        <v>168</v>
      </c>
      <c r="B35" s="169"/>
      <c r="C35" s="172">
        <f>(B35/100)*B24</f>
        <v>0</v>
      </c>
    </row>
    <row r="36" spans="1:3" x14ac:dyDescent="0.3">
      <c r="A36" s="173" t="s">
        <v>169</v>
      </c>
      <c r="B36" s="174">
        <f>SUM(B27:B35)</f>
        <v>0</v>
      </c>
      <c r="C36" s="175">
        <f>(B36/100)*B24</f>
        <v>0</v>
      </c>
    </row>
    <row r="37" spans="1:3" x14ac:dyDescent="0.3">
      <c r="A37" s="173" t="s">
        <v>170</v>
      </c>
      <c r="B37" s="174">
        <f>B27+B28+B29+B30</f>
        <v>0</v>
      </c>
      <c r="C37" s="176">
        <f>(B37/100)*B24</f>
        <v>0</v>
      </c>
    </row>
    <row r="38" spans="1:3" ht="30" customHeight="1" x14ac:dyDescent="0.3">
      <c r="A38" s="102" t="s">
        <v>171</v>
      </c>
      <c r="B38" s="177" t="s">
        <v>155</v>
      </c>
      <c r="C38" s="178" t="s">
        <v>142</v>
      </c>
    </row>
    <row r="39" spans="1:3" x14ac:dyDescent="0.3">
      <c r="A39" s="165" t="s">
        <v>172</v>
      </c>
      <c r="B39" s="179"/>
      <c r="C39" s="212"/>
    </row>
    <row r="40" spans="1:3" ht="44.4" x14ac:dyDescent="0.3">
      <c r="A40" s="165" t="s">
        <v>173</v>
      </c>
      <c r="B40" s="179"/>
      <c r="C40" s="212"/>
    </row>
    <row r="41" spans="1:3" ht="30" customHeight="1" x14ac:dyDescent="0.3">
      <c r="A41" s="180" t="s">
        <v>174</v>
      </c>
      <c r="B41" s="181" t="s">
        <v>79</v>
      </c>
      <c r="C41" s="182" t="s">
        <v>175</v>
      </c>
    </row>
    <row r="42" spans="1:3" x14ac:dyDescent="0.3">
      <c r="A42" s="72" t="s">
        <v>161</v>
      </c>
      <c r="B42" s="169"/>
      <c r="C42" s="183">
        <f>(B42/100)*B39</f>
        <v>0</v>
      </c>
    </row>
    <row r="43" spans="1:3" x14ac:dyDescent="0.3">
      <c r="A43" s="68" t="s">
        <v>162</v>
      </c>
      <c r="B43" s="169"/>
      <c r="C43" s="170">
        <f>(B43/100)*B39</f>
        <v>0</v>
      </c>
    </row>
    <row r="44" spans="1:3" x14ac:dyDescent="0.3">
      <c r="A44" s="153" t="s">
        <v>176</v>
      </c>
      <c r="B44" s="169"/>
      <c r="C44" s="184">
        <f>(B44/100)*B39</f>
        <v>0</v>
      </c>
    </row>
    <row r="45" spans="1:3" x14ac:dyDescent="0.3">
      <c r="A45" s="72" t="s">
        <v>165</v>
      </c>
      <c r="B45" s="169"/>
      <c r="C45" s="170">
        <f>(B45/100)*B39</f>
        <v>0</v>
      </c>
    </row>
    <row r="46" spans="1:3" x14ac:dyDescent="0.3">
      <c r="A46" s="153" t="s">
        <v>163</v>
      </c>
      <c r="B46" s="169"/>
      <c r="C46" s="185">
        <f>(B46/100)*B39</f>
        <v>0</v>
      </c>
    </row>
    <row r="47" spans="1:3" x14ac:dyDescent="0.3">
      <c r="A47" s="153" t="s">
        <v>177</v>
      </c>
      <c r="B47" s="169"/>
      <c r="C47" s="172">
        <f>(B47/100)*B39</f>
        <v>0</v>
      </c>
    </row>
    <row r="48" spans="1:3" x14ac:dyDescent="0.3">
      <c r="A48" s="107" t="s">
        <v>166</v>
      </c>
      <c r="B48" s="169"/>
      <c r="C48" s="170">
        <f>(B48/100)*B39</f>
        <v>0</v>
      </c>
    </row>
    <row r="49" spans="1:4" x14ac:dyDescent="0.3">
      <c r="A49" s="171" t="s">
        <v>167</v>
      </c>
      <c r="B49" s="169"/>
      <c r="C49" s="170">
        <f>(B49/100)*B39</f>
        <v>0</v>
      </c>
    </row>
    <row r="50" spans="1:4" x14ac:dyDescent="0.3">
      <c r="A50" s="153" t="s">
        <v>168</v>
      </c>
      <c r="B50" s="169"/>
      <c r="C50" s="186">
        <f>(B50/100)*B39</f>
        <v>0</v>
      </c>
    </row>
    <row r="51" spans="1:4" x14ac:dyDescent="0.3">
      <c r="A51" s="187" t="s">
        <v>169</v>
      </c>
      <c r="B51" s="188">
        <f>SUM(B42:B50)</f>
        <v>0</v>
      </c>
      <c r="C51" s="189"/>
    </row>
    <row r="52" spans="1:4" x14ac:dyDescent="0.3">
      <c r="A52" s="173" t="s">
        <v>178</v>
      </c>
      <c r="B52" s="174">
        <f>B42+B43+(0.5*B47)+B44+B46</f>
        <v>0</v>
      </c>
      <c r="C52" s="190">
        <f>(B52/100)*B39</f>
        <v>0</v>
      </c>
    </row>
    <row r="53" spans="1:4" ht="30" customHeight="1" x14ac:dyDescent="0.3">
      <c r="A53" s="102" t="s">
        <v>75</v>
      </c>
      <c r="B53" s="177" t="s">
        <v>155</v>
      </c>
      <c r="C53" s="178" t="s">
        <v>142</v>
      </c>
    </row>
    <row r="54" spans="1:4" ht="14.4" customHeight="1" x14ac:dyDescent="0.3">
      <c r="A54" s="72" t="s">
        <v>179</v>
      </c>
      <c r="B54" s="179"/>
      <c r="C54" s="650"/>
    </row>
    <row r="55" spans="1:4" ht="32.25" customHeight="1" x14ac:dyDescent="0.3">
      <c r="A55" s="72" t="s">
        <v>180</v>
      </c>
      <c r="B55" s="169"/>
      <c r="C55" s="650"/>
    </row>
    <row r="56" spans="1:4" x14ac:dyDescent="0.3">
      <c r="A56" s="173" t="s">
        <v>169</v>
      </c>
      <c r="B56" s="580"/>
      <c r="C56" s="651"/>
    </row>
    <row r="57" spans="1:4" x14ac:dyDescent="0.3">
      <c r="B57" s="2"/>
    </row>
    <row r="58" spans="1:4" x14ac:dyDescent="0.3">
      <c r="B58" s="2"/>
    </row>
    <row r="59" spans="1:4" x14ac:dyDescent="0.3">
      <c r="A59" s="14" t="s">
        <v>181</v>
      </c>
    </row>
    <row r="60" spans="1:4" x14ac:dyDescent="0.3">
      <c r="A60" s="191"/>
      <c r="B60" s="192"/>
      <c r="C60" s="192"/>
      <c r="D60" s="192"/>
    </row>
    <row r="61" spans="1:4" x14ac:dyDescent="0.3">
      <c r="A61" s="193" t="s">
        <v>140</v>
      </c>
      <c r="B61" s="147" t="s">
        <v>141</v>
      </c>
      <c r="C61" s="177" t="s">
        <v>182</v>
      </c>
      <c r="D61" s="194" t="s">
        <v>183</v>
      </c>
    </row>
    <row r="62" spans="1:4" x14ac:dyDescent="0.3">
      <c r="A62" s="153" t="s">
        <v>143</v>
      </c>
      <c r="B62" s="195">
        <f>B11</f>
        <v>0</v>
      </c>
      <c r="C62" s="196">
        <f>(43.2*0.834*(B62/1000))*0.2778</f>
        <v>0</v>
      </c>
      <c r="D62" s="197">
        <f>0.03*C62</f>
        <v>0</v>
      </c>
    </row>
    <row r="63" spans="1:4" x14ac:dyDescent="0.3">
      <c r="A63" s="153" t="s">
        <v>144</v>
      </c>
      <c r="B63" s="195">
        <f>B12</f>
        <v>0</v>
      </c>
      <c r="C63" s="196">
        <f>(42.8*0.806*(B63/1000))*0.2778</f>
        <v>0</v>
      </c>
      <c r="D63" s="197">
        <f>0.12*C63</f>
        <v>0</v>
      </c>
    </row>
    <row r="64" spans="1:4" x14ac:dyDescent="0.3">
      <c r="A64" s="153" t="s">
        <v>145</v>
      </c>
      <c r="B64" s="195">
        <f>B13</f>
        <v>0</v>
      </c>
      <c r="C64" s="198">
        <f>(41.9*0.745*(B64/1000))*0.2778</f>
        <v>0</v>
      </c>
      <c r="D64" s="197">
        <f>0.105*C64</f>
        <v>0</v>
      </c>
    </row>
    <row r="65" spans="1:5" x14ac:dyDescent="0.3">
      <c r="A65" s="90" t="s">
        <v>147</v>
      </c>
      <c r="B65" s="195">
        <f>B14</f>
        <v>0</v>
      </c>
      <c r="C65" s="199">
        <f>(43.8*0.78*(B65/1000))*0.2778</f>
        <v>0</v>
      </c>
      <c r="D65" s="197">
        <f>C65</f>
        <v>0</v>
      </c>
    </row>
    <row r="66" spans="1:5" x14ac:dyDescent="0.3">
      <c r="A66" s="14" t="s">
        <v>146</v>
      </c>
      <c r="B66" s="195">
        <f>B15</f>
        <v>0</v>
      </c>
      <c r="C66" s="196">
        <f>(43.2*0.834*(B66/1000))*0.2778</f>
        <v>0</v>
      </c>
      <c r="D66" s="536">
        <f>C66</f>
        <v>0</v>
      </c>
    </row>
    <row r="67" spans="1:5" ht="16.2" x14ac:dyDescent="0.3">
      <c r="A67" s="193" t="s">
        <v>140</v>
      </c>
      <c r="B67" s="147" t="s">
        <v>184</v>
      </c>
      <c r="C67" s="200"/>
      <c r="D67" s="201"/>
    </row>
    <row r="68" spans="1:5" x14ac:dyDescent="0.3">
      <c r="A68" s="153" t="s">
        <v>149</v>
      </c>
      <c r="B68" s="195">
        <f>B17</f>
        <v>0</v>
      </c>
      <c r="C68" s="202">
        <f>((49.3*B68)/1000)*0.2778</f>
        <v>0</v>
      </c>
      <c r="D68" s="197">
        <v>0</v>
      </c>
    </row>
    <row r="69" spans="1:5" x14ac:dyDescent="0.3">
      <c r="A69" s="153" t="s">
        <v>150</v>
      </c>
      <c r="B69" s="195">
        <f>B18</f>
        <v>0</v>
      </c>
      <c r="C69" s="203">
        <f>((46.3*B69)/1000)*0.2778</f>
        <v>0</v>
      </c>
      <c r="D69" s="197">
        <v>0</v>
      </c>
    </row>
    <row r="70" spans="1:5" x14ac:dyDescent="0.3">
      <c r="A70" s="153" t="s">
        <v>151</v>
      </c>
      <c r="B70" s="195">
        <f>B19</f>
        <v>0</v>
      </c>
      <c r="C70" s="203">
        <f>((46.3*B70)/1000)*0.2778</f>
        <v>0</v>
      </c>
      <c r="D70" s="197">
        <v>0</v>
      </c>
    </row>
    <row r="71" spans="1:5" ht="16.2" x14ac:dyDescent="0.3">
      <c r="A71" s="153" t="s">
        <v>185</v>
      </c>
      <c r="B71" s="204">
        <f>B20</f>
        <v>0</v>
      </c>
      <c r="C71" s="202">
        <f>(9.5*0.3*B71*0.2778)</f>
        <v>0</v>
      </c>
      <c r="D71" s="579">
        <f>C71</f>
        <v>0</v>
      </c>
      <c r="E71" s="632"/>
    </row>
    <row r="72" spans="1:5" x14ac:dyDescent="0.3">
      <c r="A72" s="205" t="s">
        <v>169</v>
      </c>
      <c r="B72" s="206"/>
      <c r="C72" s="207">
        <f>C62+C63+C64+C65+C66+C68+C69+C70+C71</f>
        <v>0</v>
      </c>
      <c r="D72" s="580">
        <f>D62+D63+D64+D65+D66+D68+D69+D70+D71</f>
        <v>0</v>
      </c>
    </row>
    <row r="73" spans="1:5" x14ac:dyDescent="0.3">
      <c r="A73" s="208" t="s">
        <v>186</v>
      </c>
      <c r="B73" s="209"/>
      <c r="C73" s="210"/>
      <c r="D73" s="211" t="e">
        <f>D72/C72</f>
        <v>#DIV/0!</v>
      </c>
    </row>
    <row r="74" spans="1:5" x14ac:dyDescent="0.3">
      <c r="B74" s="2"/>
    </row>
    <row r="75" spans="1:5" x14ac:dyDescent="0.3">
      <c r="B75" s="2"/>
    </row>
    <row r="76" spans="1:5" x14ac:dyDescent="0.3">
      <c r="B76" s="2"/>
    </row>
    <row r="77" spans="1:5" x14ac:dyDescent="0.3">
      <c r="B77" s="2"/>
    </row>
    <row r="78" spans="1:5" x14ac:dyDescent="0.3">
      <c r="B78" s="2"/>
    </row>
    <row r="79" spans="1:5" x14ac:dyDescent="0.3">
      <c r="B79" s="2"/>
    </row>
    <row r="80" spans="1:5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</sheetData>
  <sheetProtection formatCells="0"/>
  <mergeCells count="1">
    <mergeCell ref="A9:C9"/>
  </mergeCells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7"/>
  <sheetViews>
    <sheetView showGridLines="0" zoomScale="80" zoomScaleNormal="80" workbookViewId="0">
      <selection activeCell="B18" sqref="B18"/>
    </sheetView>
  </sheetViews>
  <sheetFormatPr defaultColWidth="8.69921875" defaultRowHeight="14.4" x14ac:dyDescent="0.3"/>
  <cols>
    <col min="1" max="1" width="52" style="222" customWidth="1"/>
    <col min="2" max="2" width="23.69921875" style="98" customWidth="1"/>
    <col min="3" max="3" width="29.5" style="98" customWidth="1"/>
    <col min="4" max="4" width="40" style="98" customWidth="1"/>
    <col min="5" max="5" width="15.59765625" style="98" customWidth="1"/>
    <col min="6" max="6" width="55.59765625" style="98" customWidth="1"/>
    <col min="7" max="7" width="18" style="98" customWidth="1"/>
    <col min="8" max="8" width="24.69921875" style="98" customWidth="1"/>
    <col min="9" max="10" width="14.5" style="98" customWidth="1"/>
    <col min="11" max="11" width="29.5" style="98" customWidth="1"/>
    <col min="12" max="12" width="14.5" style="98" customWidth="1"/>
    <col min="13" max="14" width="8.69921875" style="98"/>
    <col min="15" max="15" width="19.5" style="98" customWidth="1"/>
    <col min="16" max="16" width="17.5" style="98" customWidth="1"/>
    <col min="17" max="16384" width="8.69921875" style="98"/>
  </cols>
  <sheetData>
    <row r="1" spans="1:13" ht="40.200000000000003" customHeight="1" x14ac:dyDescent="0.45">
      <c r="A1" s="664" t="s">
        <v>187</v>
      </c>
      <c r="B1" s="665"/>
      <c r="C1" s="214"/>
    </row>
    <row r="2" spans="1:13" ht="15" customHeight="1" x14ac:dyDescent="0.3">
      <c r="A2" s="215"/>
      <c r="B2" s="214"/>
      <c r="C2" s="214"/>
    </row>
    <row r="3" spans="1:13" ht="18" x14ac:dyDescent="0.3">
      <c r="A3" s="216"/>
      <c r="B3" s="217"/>
      <c r="C3" s="218"/>
    </row>
    <row r="4" spans="1:13" x14ac:dyDescent="0.3">
      <c r="A4" s="219" t="s">
        <v>188</v>
      </c>
      <c r="B4" s="220"/>
      <c r="C4" s="221"/>
      <c r="D4" s="222"/>
    </row>
    <row r="5" spans="1:13" ht="14.1" customHeight="1" x14ac:dyDescent="0.3">
      <c r="A5" s="219" t="s">
        <v>189</v>
      </c>
      <c r="B5" s="223"/>
      <c r="C5" s="224"/>
      <c r="D5" s="225"/>
    </row>
    <row r="6" spans="1:13" ht="15.6" x14ac:dyDescent="0.3">
      <c r="A6" s="226"/>
      <c r="B6" s="227"/>
      <c r="C6" s="228"/>
      <c r="D6" s="222"/>
    </row>
    <row r="7" spans="1:13" ht="15" customHeight="1" x14ac:dyDescent="0.3">
      <c r="A7" s="229"/>
      <c r="B7" s="214"/>
      <c r="C7" s="214"/>
    </row>
    <row r="8" spans="1:13" ht="43.5" customHeight="1" x14ac:dyDescent="0.3">
      <c r="A8" s="666" t="s">
        <v>190</v>
      </c>
      <c r="B8" s="667"/>
      <c r="C8" s="668"/>
      <c r="D8" s="230"/>
      <c r="E8" s="230"/>
      <c r="J8" s="231"/>
      <c r="K8" s="231"/>
      <c r="M8" s="231"/>
    </row>
    <row r="9" spans="1:13" ht="25.2" customHeight="1" x14ac:dyDescent="0.3">
      <c r="A9" s="232" t="s">
        <v>140</v>
      </c>
      <c r="B9" s="233" t="s">
        <v>191</v>
      </c>
      <c r="C9" s="233" t="s">
        <v>192</v>
      </c>
      <c r="D9" s="234"/>
      <c r="E9" s="235"/>
    </row>
    <row r="10" spans="1:13" ht="15.6" x14ac:dyDescent="0.3">
      <c r="A10" s="236" t="s">
        <v>193</v>
      </c>
      <c r="B10" s="237">
        <f>'C.'!B11*D.!B78</f>
        <v>0</v>
      </c>
      <c r="C10" s="238" t="e">
        <f>B10/B28</f>
        <v>#DIV/0!</v>
      </c>
      <c r="D10" s="239"/>
      <c r="E10" s="240"/>
    </row>
    <row r="11" spans="1:13" ht="15.6" x14ac:dyDescent="0.3">
      <c r="A11" s="236" t="s">
        <v>194</v>
      </c>
      <c r="B11" s="237">
        <f>'C.'!B12*D.!B79</f>
        <v>0</v>
      </c>
      <c r="C11" s="238" t="e">
        <f>B11/B28</f>
        <v>#DIV/0!</v>
      </c>
      <c r="D11" s="239"/>
      <c r="E11" s="240"/>
    </row>
    <row r="12" spans="1:13" ht="15.6" x14ac:dyDescent="0.3">
      <c r="A12" s="236" t="s">
        <v>195</v>
      </c>
      <c r="B12" s="237">
        <f>'C.'!B13*D.!B80</f>
        <v>0</v>
      </c>
      <c r="C12" s="238" t="e">
        <f>B12/B28</f>
        <v>#DIV/0!</v>
      </c>
      <c r="D12" s="239"/>
      <c r="E12" s="240"/>
    </row>
    <row r="13" spans="1:13" ht="15.6" x14ac:dyDescent="0.3">
      <c r="A13" s="97" t="s">
        <v>146</v>
      </c>
      <c r="B13" s="237">
        <f>'C.'!B14*D.!B81</f>
        <v>0</v>
      </c>
      <c r="C13" s="238" t="e">
        <f>B13/B28</f>
        <v>#DIV/0!</v>
      </c>
      <c r="D13" s="239"/>
      <c r="E13" s="240"/>
    </row>
    <row r="14" spans="1:13" ht="15.6" x14ac:dyDescent="0.3">
      <c r="A14" s="90" t="s">
        <v>196</v>
      </c>
      <c r="B14" s="237">
        <f>'C.'!B15*D.!B82</f>
        <v>0</v>
      </c>
      <c r="C14" s="238" t="e">
        <f>B14/B28</f>
        <v>#DIV/0!</v>
      </c>
      <c r="D14" s="239"/>
      <c r="E14" s="240"/>
    </row>
    <row r="15" spans="1:13" ht="15.6" x14ac:dyDescent="0.3">
      <c r="A15" s="97" t="s">
        <v>197</v>
      </c>
      <c r="B15" s="237">
        <f>'C.'!B17*D.!B83</f>
        <v>0</v>
      </c>
      <c r="C15" s="238" t="e">
        <f>B15/B28</f>
        <v>#DIV/0!</v>
      </c>
      <c r="D15" s="239"/>
      <c r="E15" s="240"/>
      <c r="F15" s="241"/>
      <c r="G15" s="242"/>
      <c r="H15" s="243"/>
    </row>
    <row r="16" spans="1:13" ht="15.6" x14ac:dyDescent="0.3">
      <c r="A16" s="97" t="s">
        <v>198</v>
      </c>
      <c r="B16" s="237">
        <f>'C.'!B18*D.!B85</f>
        <v>0</v>
      </c>
      <c r="C16" s="238" t="e">
        <f>B16/B28</f>
        <v>#DIV/0!</v>
      </c>
      <c r="D16" s="239"/>
      <c r="E16" s="240"/>
      <c r="F16" s="241"/>
      <c r="G16" s="242"/>
      <c r="H16" s="243"/>
    </row>
    <row r="17" spans="1:17" ht="15.6" x14ac:dyDescent="0.3">
      <c r="A17" s="244" t="s">
        <v>199</v>
      </c>
      <c r="B17" s="237">
        <f>'C.'!B19*D.!B85</f>
        <v>0</v>
      </c>
      <c r="C17" s="238" t="e">
        <f>B17/B28</f>
        <v>#DIV/0!</v>
      </c>
      <c r="D17" s="239"/>
      <c r="E17" s="240"/>
      <c r="F17" s="241"/>
      <c r="G17" s="242"/>
      <c r="H17" s="243"/>
    </row>
    <row r="18" spans="1:17" ht="15.6" x14ac:dyDescent="0.3">
      <c r="A18" s="245" t="s">
        <v>200</v>
      </c>
      <c r="B18" s="237">
        <f>'C.'!B20*D.!B86</f>
        <v>0</v>
      </c>
      <c r="C18" s="246" t="e">
        <f>B18/B28</f>
        <v>#DIV/0!</v>
      </c>
      <c r="D18" s="239"/>
      <c r="E18" s="240"/>
      <c r="F18" s="241"/>
      <c r="G18" s="242"/>
      <c r="H18" s="243"/>
    </row>
    <row r="19" spans="1:17" ht="15.6" x14ac:dyDescent="0.3">
      <c r="A19" s="247" t="s">
        <v>201</v>
      </c>
      <c r="B19" s="248">
        <f>SUM(B10:B18)</f>
        <v>0</v>
      </c>
      <c r="C19" s="249" t="e">
        <f>B19/B28</f>
        <v>#DIV/0!</v>
      </c>
      <c r="D19" s="234"/>
      <c r="E19" s="250"/>
      <c r="F19" s="241"/>
      <c r="G19" s="251"/>
    </row>
    <row r="20" spans="1:17" ht="15" customHeight="1" x14ac:dyDescent="0.3">
      <c r="A20" s="252"/>
      <c r="B20" s="253"/>
      <c r="C20" s="254"/>
      <c r="D20" s="239"/>
      <c r="E20" s="240"/>
      <c r="F20" s="241"/>
      <c r="G20" s="251"/>
    </row>
    <row r="21" spans="1:17" ht="30" customHeight="1" x14ac:dyDescent="0.3">
      <c r="A21" s="669" t="s">
        <v>202</v>
      </c>
      <c r="B21" s="670"/>
      <c r="C21" s="671"/>
      <c r="D21" s="239"/>
      <c r="E21" s="240"/>
      <c r="F21" s="241"/>
      <c r="G21" s="231"/>
    </row>
    <row r="22" spans="1:17" ht="25.2" customHeight="1" x14ac:dyDescent="0.3">
      <c r="A22" s="255" t="s">
        <v>154</v>
      </c>
      <c r="B22" s="256" t="s">
        <v>203</v>
      </c>
      <c r="C22" s="257" t="s">
        <v>192</v>
      </c>
      <c r="D22" s="234"/>
      <c r="E22" s="258"/>
      <c r="F22" s="259"/>
      <c r="G22" s="230"/>
      <c r="H22" s="260"/>
      <c r="I22" s="261"/>
      <c r="J22" s="262"/>
      <c r="Q22" s="230"/>
    </row>
    <row r="23" spans="1:17" x14ac:dyDescent="0.3">
      <c r="A23" s="76" t="s">
        <v>204</v>
      </c>
      <c r="B23" s="237">
        <f>'C.'!B24*'C.'!B25</f>
        <v>0</v>
      </c>
      <c r="C23" s="263" t="e">
        <f>B23/B28</f>
        <v>#DIV/0!</v>
      </c>
      <c r="D23" s="264"/>
      <c r="E23" s="265"/>
      <c r="F23" s="265"/>
      <c r="G23" s="230"/>
      <c r="H23" s="260"/>
      <c r="I23" s="261"/>
      <c r="J23" s="262"/>
      <c r="Q23" s="230"/>
    </row>
    <row r="24" spans="1:17" x14ac:dyDescent="0.3">
      <c r="A24" s="76" t="s">
        <v>205</v>
      </c>
      <c r="B24" s="237">
        <f>'C.'!B39*'C.'!B40</f>
        <v>0</v>
      </c>
      <c r="C24" s="263" t="e">
        <f>B24/B28</f>
        <v>#DIV/0!</v>
      </c>
      <c r="D24" s="264"/>
      <c r="E24" s="266"/>
      <c r="F24" s="266"/>
      <c r="G24" s="267"/>
      <c r="J24" s="268"/>
    </row>
    <row r="25" spans="1:17" x14ac:dyDescent="0.3">
      <c r="A25" s="229" t="s">
        <v>75</v>
      </c>
      <c r="B25" s="237">
        <f>'C.'!B54*'C.'!B55</f>
        <v>0</v>
      </c>
      <c r="C25" s="263" t="e">
        <f>B25/B28</f>
        <v>#DIV/0!</v>
      </c>
      <c r="D25" s="264"/>
      <c r="E25" s="266"/>
      <c r="F25" s="266"/>
      <c r="G25" s="267"/>
      <c r="J25" s="268"/>
    </row>
    <row r="26" spans="1:17" x14ac:dyDescent="0.3">
      <c r="A26" s="269" t="s">
        <v>201</v>
      </c>
      <c r="B26" s="270">
        <f>SUM(B23:B25)</f>
        <v>0</v>
      </c>
      <c r="C26" s="271" t="e">
        <f>B26/B28</f>
        <v>#DIV/0!</v>
      </c>
      <c r="D26" s="272"/>
      <c r="E26" s="273"/>
      <c r="F26" s="272"/>
      <c r="G26" s="272"/>
    </row>
    <row r="27" spans="1:17" x14ac:dyDescent="0.3">
      <c r="A27" s="274"/>
      <c r="B27" s="275"/>
      <c r="C27" s="214"/>
    </row>
    <row r="28" spans="1:17" ht="25.2" customHeight="1" x14ac:dyDescent="0.3">
      <c r="A28" s="276" t="s">
        <v>206</v>
      </c>
      <c r="B28" s="277">
        <f>B19+B26</f>
        <v>0</v>
      </c>
      <c r="C28" s="278" t="s">
        <v>207</v>
      </c>
    </row>
    <row r="29" spans="1:17" ht="25.2" customHeight="1" x14ac:dyDescent="0.3">
      <c r="A29" s="274"/>
      <c r="B29" s="279">
        <f>B28/1000</f>
        <v>0</v>
      </c>
      <c r="C29" s="278" t="s">
        <v>208</v>
      </c>
    </row>
    <row r="30" spans="1:17" ht="15" customHeight="1" x14ac:dyDescent="0.3">
      <c r="A30" s="158"/>
      <c r="B30" s="280"/>
      <c r="C30" s="281"/>
    </row>
    <row r="31" spans="1:17" ht="15" customHeight="1" x14ac:dyDescent="0.3">
      <c r="A31" s="539"/>
      <c r="B31" s="540"/>
      <c r="C31" s="541"/>
    </row>
    <row r="32" spans="1:17" ht="15" customHeight="1" x14ac:dyDescent="0.3">
      <c r="A32" s="542" t="s">
        <v>209</v>
      </c>
      <c r="B32" s="543"/>
      <c r="C32" s="133"/>
    </row>
    <row r="33" spans="1:4" ht="15" customHeight="1" x14ac:dyDescent="0.3">
      <c r="A33" s="544" t="s">
        <v>210</v>
      </c>
      <c r="B33" s="545">
        <f>B28/0.152</f>
        <v>0</v>
      </c>
      <c r="C33" s="133" t="s">
        <v>211</v>
      </c>
    </row>
    <row r="34" spans="1:4" ht="22.5" customHeight="1" x14ac:dyDescent="0.3">
      <c r="A34" s="544" t="s">
        <v>212</v>
      </c>
      <c r="B34" s="545">
        <f>B28/10300</f>
        <v>0</v>
      </c>
      <c r="C34" s="133" t="s">
        <v>213</v>
      </c>
    </row>
    <row r="35" spans="1:4" ht="27.45" customHeight="1" x14ac:dyDescent="0.3">
      <c r="A35" s="544" t="s">
        <v>214</v>
      </c>
      <c r="B35" s="545">
        <f>B28/3700</f>
        <v>0</v>
      </c>
      <c r="C35" s="133" t="s">
        <v>215</v>
      </c>
    </row>
    <row r="36" spans="1:4" ht="15" customHeight="1" x14ac:dyDescent="0.3">
      <c r="A36" s="546"/>
      <c r="B36" s="543"/>
      <c r="C36" s="133"/>
      <c r="D36" s="267"/>
    </row>
    <row r="37" spans="1:4" ht="15" customHeight="1" x14ac:dyDescent="0.3">
      <c r="A37" s="672" t="s">
        <v>216</v>
      </c>
      <c r="B37" s="673"/>
      <c r="C37" s="674"/>
      <c r="D37" s="267"/>
    </row>
    <row r="38" spans="1:4" ht="15" customHeight="1" x14ac:dyDescent="0.3">
      <c r="A38" s="672"/>
      <c r="B38" s="673"/>
      <c r="C38" s="674"/>
    </row>
    <row r="39" spans="1:4" ht="15" customHeight="1" x14ac:dyDescent="0.3">
      <c r="A39" s="672"/>
      <c r="B39" s="673"/>
      <c r="C39" s="674"/>
    </row>
    <row r="40" spans="1:4" ht="15" customHeight="1" x14ac:dyDescent="0.3">
      <c r="A40" s="672"/>
      <c r="B40" s="673"/>
      <c r="C40" s="674"/>
      <c r="D40" s="547"/>
    </row>
    <row r="41" spans="1:4" ht="15" customHeight="1" x14ac:dyDescent="0.3">
      <c r="A41" s="675"/>
      <c r="B41" s="676"/>
      <c r="C41" s="677"/>
    </row>
    <row r="42" spans="1:4" ht="15" customHeight="1" x14ac:dyDescent="0.3">
      <c r="A42" s="158"/>
      <c r="B42" s="280"/>
      <c r="C42" s="281"/>
    </row>
    <row r="43" spans="1:4" ht="15" customHeight="1" x14ac:dyDescent="0.3">
      <c r="A43" s="538" t="s">
        <v>217</v>
      </c>
      <c r="B43" s="280"/>
      <c r="C43" s="281"/>
    </row>
    <row r="76" spans="1:6" ht="25.2" customHeight="1" x14ac:dyDescent="0.3">
      <c r="A76" s="53" t="s">
        <v>218</v>
      </c>
    </row>
    <row r="77" spans="1:6" ht="25.2" customHeight="1" x14ac:dyDescent="0.3">
      <c r="A77" s="102" t="s">
        <v>219</v>
      </c>
      <c r="B77" s="147" t="s">
        <v>220</v>
      </c>
      <c r="C77" s="282"/>
      <c r="D77" s="637" t="s">
        <v>221</v>
      </c>
      <c r="E77" s="630" t="s">
        <v>222</v>
      </c>
    </row>
    <row r="78" spans="1:6" ht="15.6" x14ac:dyDescent="0.3">
      <c r="A78" s="283" t="s">
        <v>223</v>
      </c>
      <c r="B78" s="629">
        <v>2.44</v>
      </c>
      <c r="C78" s="467" t="s">
        <v>224</v>
      </c>
      <c r="D78" s="640" t="s">
        <v>225</v>
      </c>
      <c r="E78" s="630" t="s">
        <v>226</v>
      </c>
      <c r="F78" s="638"/>
    </row>
    <row r="79" spans="1:6" ht="15.6" x14ac:dyDescent="0.3">
      <c r="A79" s="72" t="s">
        <v>227</v>
      </c>
      <c r="B79" s="631">
        <v>2.02</v>
      </c>
      <c r="C79" s="467" t="s">
        <v>224</v>
      </c>
      <c r="D79" s="641" t="s">
        <v>228</v>
      </c>
      <c r="E79" s="630" t="s">
        <v>226</v>
      </c>
      <c r="F79" s="639"/>
    </row>
    <row r="80" spans="1:6" ht="15.75" customHeight="1" x14ac:dyDescent="0.3">
      <c r="A80" s="72" t="s">
        <v>229</v>
      </c>
      <c r="B80" s="631">
        <v>2.25</v>
      </c>
      <c r="C80" s="467" t="s">
        <v>224</v>
      </c>
      <c r="D80" s="641" t="s">
        <v>228</v>
      </c>
      <c r="E80" s="630" t="s">
        <v>226</v>
      </c>
      <c r="F80" s="639"/>
    </row>
    <row r="81" spans="1:6" ht="16.95" customHeight="1" x14ac:dyDescent="0.3">
      <c r="A81" s="127" t="s">
        <v>230</v>
      </c>
      <c r="B81" s="284">
        <v>0</v>
      </c>
      <c r="C81" s="633" t="s">
        <v>224</v>
      </c>
      <c r="D81" s="642" t="s">
        <v>231</v>
      </c>
    </row>
    <row r="82" spans="1:6" ht="16.95" customHeight="1" x14ac:dyDescent="0.3">
      <c r="A82" s="283" t="s">
        <v>232</v>
      </c>
      <c r="B82" s="284">
        <v>0</v>
      </c>
      <c r="C82" s="127" t="s">
        <v>224</v>
      </c>
      <c r="D82" s="345" t="s">
        <v>233</v>
      </c>
    </row>
    <row r="83" spans="1:6" ht="15.6" x14ac:dyDescent="0.3">
      <c r="A83" s="394" t="s">
        <v>234</v>
      </c>
      <c r="B83" s="628">
        <v>2.75</v>
      </c>
      <c r="C83" s="635" t="s">
        <v>235</v>
      </c>
      <c r="D83" s="641" t="s">
        <v>228</v>
      </c>
      <c r="E83" s="630" t="s">
        <v>226</v>
      </c>
      <c r="F83" s="639"/>
    </row>
    <row r="84" spans="1:6" ht="16.2" customHeight="1" x14ac:dyDescent="0.3">
      <c r="A84" s="107" t="s">
        <v>236</v>
      </c>
      <c r="B84" s="643">
        <v>3.1</v>
      </c>
      <c r="C84" s="636" t="s">
        <v>235</v>
      </c>
      <c r="D84" s="641" t="s">
        <v>228</v>
      </c>
      <c r="E84" s="630" t="s">
        <v>226</v>
      </c>
      <c r="F84" s="639"/>
    </row>
    <row r="85" spans="1:6" ht="15.6" x14ac:dyDescent="0.3">
      <c r="A85" s="107" t="s">
        <v>237</v>
      </c>
      <c r="B85" s="643">
        <v>3</v>
      </c>
      <c r="C85" s="636" t="s">
        <v>235</v>
      </c>
      <c r="D85" s="345" t="s">
        <v>233</v>
      </c>
      <c r="E85" s="630" t="s">
        <v>226</v>
      </c>
      <c r="F85" s="639"/>
    </row>
    <row r="86" spans="1:6" ht="16.2" x14ac:dyDescent="0.3">
      <c r="A86" s="68" t="s">
        <v>238</v>
      </c>
      <c r="B86" s="576">
        <v>0.04</v>
      </c>
      <c r="C86" s="467" t="s">
        <v>239</v>
      </c>
      <c r="D86" s="335"/>
    </row>
    <row r="87" spans="1:6" ht="15" customHeight="1" x14ac:dyDescent="0.3">
      <c r="C87" s="285"/>
      <c r="D87" s="222"/>
    </row>
    <row r="88" spans="1:6" ht="25.2" customHeight="1" x14ac:dyDescent="0.3">
      <c r="A88" s="53" t="s">
        <v>240</v>
      </c>
      <c r="C88" s="127"/>
      <c r="D88" s="127"/>
    </row>
    <row r="89" spans="1:6" ht="25.2" customHeight="1" x14ac:dyDescent="0.3">
      <c r="A89" s="286" t="s">
        <v>241</v>
      </c>
      <c r="B89" s="287" t="s">
        <v>242</v>
      </c>
      <c r="C89" s="286"/>
      <c r="D89" s="286" t="s">
        <v>221</v>
      </c>
      <c r="E89" s="38"/>
      <c r="F89" s="38"/>
    </row>
    <row r="90" spans="1:6" ht="28.8" x14ac:dyDescent="0.3">
      <c r="A90" s="68" t="s">
        <v>243</v>
      </c>
      <c r="B90" s="646">
        <v>38</v>
      </c>
      <c r="C90" s="345" t="s">
        <v>244</v>
      </c>
      <c r="D90" s="647" t="s">
        <v>245</v>
      </c>
      <c r="E90" s="288"/>
      <c r="F90" s="288"/>
    </row>
    <row r="91" spans="1:6" ht="25.2" customHeight="1" x14ac:dyDescent="0.3">
      <c r="A91" s="102" t="s">
        <v>205</v>
      </c>
      <c r="B91" s="147" t="s">
        <v>242</v>
      </c>
      <c r="C91" s="102"/>
      <c r="D91" s="286" t="s">
        <v>221</v>
      </c>
      <c r="E91" s="38"/>
      <c r="F91" s="38"/>
    </row>
    <row r="92" spans="1:6" ht="28.8" x14ac:dyDescent="0.3">
      <c r="A92" s="72" t="s">
        <v>246</v>
      </c>
      <c r="B92" s="648">
        <v>110</v>
      </c>
      <c r="C92" s="283" t="s">
        <v>244</v>
      </c>
      <c r="D92" s="649" t="s">
        <v>245</v>
      </c>
      <c r="E92" s="288"/>
      <c r="F92" s="288"/>
    </row>
    <row r="93" spans="1:6" ht="15.6" x14ac:dyDescent="0.3">
      <c r="A93" s="102" t="s">
        <v>75</v>
      </c>
      <c r="B93" s="147" t="s">
        <v>242</v>
      </c>
      <c r="C93" s="102"/>
      <c r="D93" s="286" t="s">
        <v>221</v>
      </c>
    </row>
    <row r="94" spans="1:6" x14ac:dyDescent="0.3">
      <c r="A94" s="72" t="s">
        <v>247</v>
      </c>
      <c r="B94" s="648">
        <v>0</v>
      </c>
      <c r="C94" s="283" t="s">
        <v>244</v>
      </c>
      <c r="D94" s="649" t="s">
        <v>248</v>
      </c>
    </row>
    <row r="95" spans="1:6" x14ac:dyDescent="0.3">
      <c r="A95" s="158"/>
    </row>
    <row r="97" spans="1:1" x14ac:dyDescent="0.3">
      <c r="A97" s="550"/>
    </row>
  </sheetData>
  <sheetProtection selectLockedCells="1" selectUnlockedCells="1"/>
  <protectedRanges>
    <protectedRange algorithmName="SHA-512" hashValue="3V7G92yQhCrGG5+f5QDLSP2vU/jRH6CQJ0nZSO7gIwMVHTr62vJR8cfyMF88n2bABNKf+Ctsxzx7uVI0bcfYTw==" saltValue="gejNKux2Yb/0U/iMCO4kuw==" spinCount="100000" sqref="A1:C29" name="Yhteenveto12"/>
  </protectedRanges>
  <mergeCells count="4">
    <mergeCell ref="A1:B1"/>
    <mergeCell ref="A8:C8"/>
    <mergeCell ref="A21:C21"/>
    <mergeCell ref="A37:C4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67"/>
  <sheetViews>
    <sheetView showGridLines="0" topLeftCell="A162" zoomScale="90" zoomScaleNormal="90" zoomScaleSheetLayoutView="80" workbookViewId="0">
      <selection activeCell="G145" sqref="G145"/>
    </sheetView>
  </sheetViews>
  <sheetFormatPr defaultColWidth="8.69921875" defaultRowHeight="15.6" x14ac:dyDescent="0.3"/>
  <cols>
    <col min="1" max="1" width="60.19921875" style="2" customWidth="1"/>
    <col min="2" max="2" width="10.69921875" style="2" customWidth="1"/>
    <col min="3" max="3" width="15.69921875" style="289" customWidth="1"/>
    <col min="4" max="4" width="18.69921875" style="290" customWidth="1"/>
    <col min="5" max="5" width="15.69921875" style="290" customWidth="1"/>
    <col min="6" max="7" width="30.69921875" style="289" customWidth="1"/>
    <col min="8" max="8" width="70.69921875" style="2" customWidth="1"/>
    <col min="9" max="9" width="20.5" style="2" customWidth="1"/>
    <col min="10" max="10" width="12.69921875" style="2" customWidth="1"/>
    <col min="11" max="11" width="38.19921875" style="2" customWidth="1"/>
    <col min="12" max="16384" width="8.69921875" style="2"/>
  </cols>
  <sheetData>
    <row r="1" spans="1:8" ht="40.200000000000003" customHeight="1" x14ac:dyDescent="0.45">
      <c r="A1" s="41" t="s">
        <v>249</v>
      </c>
    </row>
    <row r="2" spans="1:8" ht="15" customHeight="1" x14ac:dyDescent="0.45">
      <c r="A2" s="41"/>
    </row>
    <row r="3" spans="1:8" ht="15" customHeight="1" x14ac:dyDescent="0.35">
      <c r="A3" s="570"/>
      <c r="B3" s="408"/>
      <c r="C3" s="571"/>
      <c r="D3" s="397"/>
      <c r="E3" s="397"/>
      <c r="F3" s="398"/>
    </row>
    <row r="4" spans="1:8" ht="15" customHeight="1" x14ac:dyDescent="0.3">
      <c r="A4" s="572" t="s">
        <v>250</v>
      </c>
      <c r="B4" s="8"/>
      <c r="C4" s="293"/>
      <c r="D4" s="568"/>
      <c r="E4" s="569"/>
      <c r="F4" s="399"/>
    </row>
    <row r="5" spans="1:8" ht="15" customHeight="1" x14ac:dyDescent="0.3">
      <c r="A5" s="572" t="s">
        <v>251</v>
      </c>
      <c r="B5" s="8"/>
      <c r="C5" s="293"/>
      <c r="D5" s="568"/>
      <c r="E5" s="569"/>
      <c r="F5" s="399"/>
    </row>
    <row r="6" spans="1:8" ht="15" customHeight="1" x14ac:dyDescent="0.3">
      <c r="A6" s="572" t="s">
        <v>252</v>
      </c>
      <c r="B6" s="8"/>
      <c r="C6" s="293"/>
      <c r="D6" s="568"/>
      <c r="E6" s="569"/>
      <c r="F6" s="399"/>
    </row>
    <row r="7" spans="1:8" ht="15" customHeight="1" x14ac:dyDescent="0.3">
      <c r="A7" s="572" t="s">
        <v>253</v>
      </c>
      <c r="B7" s="8"/>
      <c r="C7" s="293"/>
      <c r="D7" s="568"/>
      <c r="E7" s="569"/>
      <c r="F7" s="399"/>
    </row>
    <row r="8" spans="1:8" ht="15" customHeight="1" x14ac:dyDescent="0.3">
      <c r="A8" s="573"/>
      <c r="B8" s="8"/>
      <c r="C8" s="293"/>
      <c r="D8" s="568"/>
      <c r="E8" s="568"/>
      <c r="F8" s="399"/>
    </row>
    <row r="9" spans="1:8" ht="15" customHeight="1" x14ac:dyDescent="0.3">
      <c r="A9" s="574"/>
      <c r="B9" s="8"/>
      <c r="C9" s="293"/>
      <c r="D9" s="568"/>
      <c r="E9" s="568"/>
      <c r="F9" s="399"/>
    </row>
    <row r="10" spans="1:8" ht="15" customHeight="1" x14ac:dyDescent="0.3">
      <c r="A10" s="572" t="s">
        <v>254</v>
      </c>
      <c r="B10" s="8"/>
      <c r="C10" s="293"/>
      <c r="D10" s="568"/>
      <c r="E10" s="568"/>
      <c r="F10" s="399"/>
    </row>
    <row r="11" spans="1:8" ht="15" customHeight="1" x14ac:dyDescent="0.3">
      <c r="A11" s="448" t="s">
        <v>255</v>
      </c>
      <c r="B11" s="8"/>
      <c r="C11" s="293"/>
      <c r="D11" s="568"/>
      <c r="E11" s="568"/>
      <c r="F11" s="399"/>
    </row>
    <row r="12" spans="1:8" ht="15" customHeight="1" x14ac:dyDescent="0.3">
      <c r="A12" s="448"/>
      <c r="B12" s="8"/>
      <c r="C12" s="293"/>
      <c r="D12" s="568"/>
      <c r="E12" s="568"/>
      <c r="F12" s="399"/>
    </row>
    <row r="13" spans="1:8" ht="15" customHeight="1" x14ac:dyDescent="0.3">
      <c r="A13" s="448" t="s">
        <v>256</v>
      </c>
      <c r="B13" s="8"/>
      <c r="C13" s="293"/>
      <c r="D13" s="568"/>
      <c r="E13" s="568"/>
      <c r="F13" s="399"/>
    </row>
    <row r="14" spans="1:8" ht="15" customHeight="1" x14ac:dyDescent="0.3">
      <c r="A14" s="575"/>
      <c r="B14" s="294"/>
      <c r="C14" s="402"/>
      <c r="D14" s="400"/>
      <c r="E14" s="400"/>
      <c r="F14" s="401"/>
    </row>
    <row r="15" spans="1:8" x14ac:dyDescent="0.3">
      <c r="A15" s="295"/>
    </row>
    <row r="16" spans="1:8" ht="30" customHeight="1" x14ac:dyDescent="0.3">
      <c r="A16" s="696" t="s">
        <v>257</v>
      </c>
      <c r="B16" s="697"/>
      <c r="C16" s="697"/>
      <c r="D16" s="697"/>
      <c r="E16" s="697"/>
      <c r="F16" s="697"/>
      <c r="G16" s="698"/>
      <c r="H16" s="296"/>
    </row>
    <row r="17" spans="1:7" ht="30" x14ac:dyDescent="0.3">
      <c r="A17" s="297" t="s">
        <v>258</v>
      </c>
      <c r="B17" s="298"/>
      <c r="C17" s="299" t="s">
        <v>259</v>
      </c>
      <c r="D17" s="298" t="s">
        <v>54</v>
      </c>
      <c r="E17" s="300" t="s">
        <v>260</v>
      </c>
      <c r="F17" s="301" t="s">
        <v>261</v>
      </c>
      <c r="G17" s="302" t="s">
        <v>262</v>
      </c>
    </row>
    <row r="18" spans="1:7" ht="25.2" customHeight="1" x14ac:dyDescent="0.3">
      <c r="A18" s="303" t="s">
        <v>263</v>
      </c>
      <c r="B18" s="304"/>
      <c r="C18" s="305"/>
      <c r="D18" s="306"/>
      <c r="E18" s="307"/>
      <c r="F18" s="308"/>
      <c r="G18" s="309"/>
    </row>
    <row r="19" spans="1:7" ht="14.4" x14ac:dyDescent="0.3">
      <c r="A19" s="171" t="s">
        <v>264</v>
      </c>
      <c r="B19" s="613"/>
      <c r="C19" s="311">
        <f>B114</f>
        <v>2600</v>
      </c>
      <c r="D19" s="312" t="s">
        <v>265</v>
      </c>
      <c r="E19" s="313">
        <f>B19*C19</f>
        <v>0</v>
      </c>
      <c r="F19" s="314"/>
      <c r="G19" s="314"/>
    </row>
    <row r="20" spans="1:7" ht="14.4" x14ac:dyDescent="0.3">
      <c r="A20" s="90" t="s">
        <v>266</v>
      </c>
      <c r="B20" s="613"/>
      <c r="C20" s="379">
        <v>80</v>
      </c>
      <c r="D20" s="312" t="s">
        <v>265</v>
      </c>
      <c r="E20" s="313">
        <f t="shared" ref="E20:E37" si="0">B20*C20</f>
        <v>0</v>
      </c>
      <c r="F20" s="117"/>
      <c r="G20" s="152"/>
    </row>
    <row r="21" spans="1:7" ht="14.4" x14ac:dyDescent="0.3">
      <c r="A21" s="90" t="s">
        <v>267</v>
      </c>
      <c r="B21" s="613"/>
      <c r="C21" s="379">
        <v>94</v>
      </c>
      <c r="D21" s="312" t="s">
        <v>265</v>
      </c>
      <c r="E21" s="313">
        <f t="shared" si="0"/>
        <v>0</v>
      </c>
      <c r="F21" s="117"/>
      <c r="G21" s="152"/>
    </row>
    <row r="22" spans="1:7" ht="14.4" x14ac:dyDescent="0.3">
      <c r="A22" s="90" t="s">
        <v>268</v>
      </c>
      <c r="B22" s="613"/>
      <c r="C22" s="379">
        <v>200</v>
      </c>
      <c r="D22" s="312" t="s">
        <v>265</v>
      </c>
      <c r="E22" s="313">
        <f t="shared" si="0"/>
        <v>0</v>
      </c>
      <c r="F22" s="117"/>
      <c r="G22" s="152"/>
    </row>
    <row r="23" spans="1:7" ht="14.4" x14ac:dyDescent="0.3">
      <c r="A23" s="90" t="s">
        <v>269</v>
      </c>
      <c r="B23" s="613"/>
      <c r="C23" s="379">
        <v>480</v>
      </c>
      <c r="D23" s="312" t="s">
        <v>265</v>
      </c>
      <c r="E23" s="313">
        <f t="shared" si="0"/>
        <v>0</v>
      </c>
      <c r="F23" s="117"/>
      <c r="G23" s="152"/>
    </row>
    <row r="24" spans="1:7" ht="14.4" x14ac:dyDescent="0.3">
      <c r="A24" s="90" t="s">
        <v>270</v>
      </c>
      <c r="B24" s="613"/>
      <c r="C24" s="379">
        <v>240</v>
      </c>
      <c r="D24" s="312" t="s">
        <v>265</v>
      </c>
      <c r="E24" s="313">
        <f t="shared" si="0"/>
        <v>0</v>
      </c>
      <c r="F24" s="117"/>
      <c r="G24" s="152"/>
    </row>
    <row r="25" spans="1:7" ht="14.4" x14ac:dyDescent="0.3">
      <c r="A25" s="90" t="s">
        <v>271</v>
      </c>
      <c r="B25" s="613"/>
      <c r="C25" s="379">
        <v>620</v>
      </c>
      <c r="D25" s="312" t="s">
        <v>265</v>
      </c>
      <c r="E25" s="313">
        <f t="shared" si="0"/>
        <v>0</v>
      </c>
      <c r="F25" s="117"/>
      <c r="G25" s="152"/>
    </row>
    <row r="26" spans="1:7" ht="14.4" x14ac:dyDescent="0.3">
      <c r="A26" s="90" t="s">
        <v>272</v>
      </c>
      <c r="B26" s="613"/>
      <c r="C26" s="379">
        <v>710</v>
      </c>
      <c r="D26" s="312" t="s">
        <v>265</v>
      </c>
      <c r="E26" s="313">
        <f t="shared" si="0"/>
        <v>0</v>
      </c>
      <c r="F26" s="117"/>
      <c r="G26" s="152"/>
    </row>
    <row r="27" spans="1:7" ht="14.4" x14ac:dyDescent="0.3">
      <c r="A27" s="90" t="s">
        <v>273</v>
      </c>
      <c r="B27" s="613"/>
      <c r="C27" s="379">
        <v>480</v>
      </c>
      <c r="D27" s="312" t="s">
        <v>265</v>
      </c>
      <c r="E27" s="313">
        <f t="shared" si="0"/>
        <v>0</v>
      </c>
      <c r="F27" s="117"/>
      <c r="G27" s="152"/>
    </row>
    <row r="28" spans="1:7" ht="14.4" x14ac:dyDescent="0.3">
      <c r="A28" s="90" t="s">
        <v>272</v>
      </c>
      <c r="B28" s="613"/>
      <c r="C28" s="379">
        <v>590</v>
      </c>
      <c r="D28" s="312" t="s">
        <v>265</v>
      </c>
      <c r="E28" s="313">
        <f t="shared" si="0"/>
        <v>0</v>
      </c>
      <c r="F28" s="117"/>
      <c r="G28" s="152"/>
    </row>
    <row r="29" spans="1:7" ht="14.4" x14ac:dyDescent="0.3">
      <c r="A29" s="90" t="s">
        <v>274</v>
      </c>
      <c r="B29" s="613"/>
      <c r="C29" s="379">
        <v>500</v>
      </c>
      <c r="D29" s="312" t="s">
        <v>265</v>
      </c>
      <c r="E29" s="313">
        <f t="shared" si="0"/>
        <v>0</v>
      </c>
      <c r="F29" s="117"/>
      <c r="G29" s="152"/>
    </row>
    <row r="30" spans="1:7" ht="14.4" x14ac:dyDescent="0.3">
      <c r="A30" s="90" t="s">
        <v>275</v>
      </c>
      <c r="B30" s="613"/>
      <c r="C30" s="379">
        <v>660</v>
      </c>
      <c r="D30" s="312" t="s">
        <v>265</v>
      </c>
      <c r="E30" s="313">
        <f t="shared" si="0"/>
        <v>0</v>
      </c>
      <c r="F30" s="117"/>
      <c r="G30" s="152"/>
    </row>
    <row r="31" spans="1:7" ht="14.4" x14ac:dyDescent="0.3">
      <c r="A31" s="90" t="s">
        <v>276</v>
      </c>
      <c r="B31" s="613"/>
      <c r="C31" s="379">
        <v>700</v>
      </c>
      <c r="D31" s="312" t="s">
        <v>265</v>
      </c>
      <c r="E31" s="313">
        <f t="shared" si="0"/>
        <v>0</v>
      </c>
      <c r="F31" s="117"/>
      <c r="G31" s="152"/>
    </row>
    <row r="32" spans="1:7" ht="14.4" x14ac:dyDescent="0.3">
      <c r="A32" s="90" t="s">
        <v>277</v>
      </c>
      <c r="B32" s="613"/>
      <c r="C32" s="379">
        <v>910</v>
      </c>
      <c r="D32" s="312" t="s">
        <v>265</v>
      </c>
      <c r="E32" s="313">
        <f t="shared" si="0"/>
        <v>0</v>
      </c>
      <c r="F32" s="117"/>
      <c r="G32" s="152"/>
    </row>
    <row r="33" spans="1:7" ht="14.4" x14ac:dyDescent="0.3">
      <c r="A33" s="171" t="s">
        <v>278</v>
      </c>
      <c r="B33" s="614"/>
      <c r="C33" s="311">
        <v>5</v>
      </c>
      <c r="D33" s="312" t="s">
        <v>279</v>
      </c>
      <c r="E33" s="313">
        <f t="shared" si="0"/>
        <v>0</v>
      </c>
      <c r="F33" s="117" t="s">
        <v>280</v>
      </c>
      <c r="G33" s="152" t="s">
        <v>281</v>
      </c>
    </row>
    <row r="34" spans="1:7" ht="14.4" x14ac:dyDescent="0.3">
      <c r="A34" s="171"/>
      <c r="B34" s="310"/>
      <c r="C34" s="311"/>
      <c r="D34" s="312"/>
      <c r="E34" s="313">
        <f t="shared" si="0"/>
        <v>0</v>
      </c>
      <c r="F34" s="117"/>
      <c r="G34" s="152"/>
    </row>
    <row r="35" spans="1:7" ht="14.4" x14ac:dyDescent="0.3">
      <c r="B35" s="310"/>
      <c r="C35" s="311"/>
      <c r="D35" s="312"/>
      <c r="E35" s="313">
        <f t="shared" si="0"/>
        <v>0</v>
      </c>
      <c r="F35" s="117"/>
      <c r="G35" s="152"/>
    </row>
    <row r="36" spans="1:7" ht="14.4" x14ac:dyDescent="0.3">
      <c r="A36" s="171"/>
      <c r="B36" s="310"/>
      <c r="C36" s="311"/>
      <c r="D36" s="312"/>
      <c r="E36" s="313">
        <f t="shared" si="0"/>
        <v>0</v>
      </c>
      <c r="F36" s="117"/>
      <c r="G36" s="152"/>
    </row>
    <row r="37" spans="1:7" ht="14.4" x14ac:dyDescent="0.3">
      <c r="A37" s="171"/>
      <c r="B37" s="310"/>
      <c r="C37" s="311"/>
      <c r="D37" s="312"/>
      <c r="E37" s="313">
        <f t="shared" si="0"/>
        <v>0</v>
      </c>
      <c r="F37" s="117"/>
      <c r="G37" s="152"/>
    </row>
    <row r="38" spans="1:7" ht="14.4" x14ac:dyDescent="0.3">
      <c r="A38" s="171" t="s">
        <v>282</v>
      </c>
      <c r="B38" s="310"/>
      <c r="C38" s="315">
        <f>B133</f>
        <v>8300</v>
      </c>
      <c r="D38" s="312" t="s">
        <v>265</v>
      </c>
      <c r="E38" s="316">
        <f>B38*C38</f>
        <v>0</v>
      </c>
      <c r="F38" s="117"/>
      <c r="G38" s="317"/>
    </row>
    <row r="39" spans="1:7" ht="14.4" x14ac:dyDescent="0.3">
      <c r="A39" s="318" t="s">
        <v>283</v>
      </c>
      <c r="B39" s="319"/>
      <c r="C39" s="320"/>
      <c r="D39" s="321"/>
      <c r="E39" s="322">
        <f>SUM(E19:E38)</f>
        <v>0</v>
      </c>
      <c r="F39" s="323"/>
      <c r="G39" s="324"/>
    </row>
    <row r="40" spans="1:7" ht="14.4" x14ac:dyDescent="0.3">
      <c r="A40" s="153" t="s">
        <v>284</v>
      </c>
      <c r="B40" s="310"/>
      <c r="C40" s="325">
        <f>B136</f>
        <v>5.4</v>
      </c>
      <c r="D40" s="312" t="s">
        <v>285</v>
      </c>
      <c r="E40" s="316">
        <f>B40*C40</f>
        <v>0</v>
      </c>
      <c r="F40" s="95"/>
      <c r="G40" s="493"/>
    </row>
    <row r="41" spans="1:7" ht="14.4" x14ac:dyDescent="0.3">
      <c r="A41" s="374" t="s">
        <v>286</v>
      </c>
      <c r="B41" s="556"/>
      <c r="C41" s="594"/>
      <c r="D41" s="89" t="s">
        <v>285</v>
      </c>
      <c r="E41" s="553">
        <f>B41*C41</f>
        <v>0</v>
      </c>
      <c r="F41" s="95"/>
      <c r="G41" s="97"/>
    </row>
    <row r="42" spans="1:7" x14ac:dyDescent="0.3">
      <c r="A42" s="374" t="s">
        <v>287</v>
      </c>
      <c r="B42" s="611"/>
      <c r="C42" s="594"/>
      <c r="D42" s="596" t="s">
        <v>288</v>
      </c>
      <c r="E42" s="553">
        <f t="shared" ref="E42" si="1">B42*C42</f>
        <v>0</v>
      </c>
      <c r="F42" s="610"/>
      <c r="G42" s="554"/>
    </row>
    <row r="43" spans="1:7" ht="14.4" x14ac:dyDescent="0.3">
      <c r="A43" s="595" t="s">
        <v>289</v>
      </c>
      <c r="B43" s="555"/>
      <c r="C43" s="594"/>
      <c r="D43" s="89" t="s">
        <v>285</v>
      </c>
      <c r="E43" s="553">
        <f>B43*C43</f>
        <v>0</v>
      </c>
      <c r="F43" s="97"/>
      <c r="G43" s="97"/>
    </row>
    <row r="44" spans="1:7" ht="14.4" x14ac:dyDescent="0.3">
      <c r="A44" s="124" t="s">
        <v>290</v>
      </c>
      <c r="B44" s="555"/>
      <c r="C44" s="615"/>
      <c r="D44" s="89"/>
      <c r="E44" s="553">
        <f t="shared" ref="E44:E49" si="2">B44*C44</f>
        <v>0</v>
      </c>
      <c r="F44" s="97"/>
      <c r="G44" s="97"/>
    </row>
    <row r="45" spans="1:7" ht="14.4" x14ac:dyDescent="0.3">
      <c r="A45" s="90" t="s">
        <v>291</v>
      </c>
      <c r="B45" s="555"/>
      <c r="C45" s="615"/>
      <c r="D45" s="89"/>
      <c r="E45" s="553">
        <f t="shared" si="2"/>
        <v>0</v>
      </c>
      <c r="F45" s="97"/>
      <c r="G45" s="97"/>
    </row>
    <row r="46" spans="1:7" ht="14.4" x14ac:dyDescent="0.3">
      <c r="A46" s="90" t="s">
        <v>292</v>
      </c>
      <c r="B46" s="555"/>
      <c r="C46" s="615"/>
      <c r="D46" s="89"/>
      <c r="E46" s="553">
        <f t="shared" si="2"/>
        <v>0</v>
      </c>
      <c r="F46" s="97"/>
      <c r="G46" s="97"/>
    </row>
    <row r="47" spans="1:7" ht="14.4" x14ac:dyDescent="0.3">
      <c r="A47" s="90" t="s">
        <v>293</v>
      </c>
      <c r="B47" s="555"/>
      <c r="C47" s="615"/>
      <c r="D47" s="89"/>
      <c r="E47" s="553">
        <f t="shared" si="2"/>
        <v>0</v>
      </c>
      <c r="F47" s="97"/>
      <c r="G47" s="97"/>
    </row>
    <row r="48" spans="1:7" ht="14.4" x14ac:dyDescent="0.3">
      <c r="A48" s="90" t="s">
        <v>294</v>
      </c>
      <c r="B48" s="555"/>
      <c r="C48" s="615"/>
      <c r="D48" s="89"/>
      <c r="E48" s="553">
        <f t="shared" si="2"/>
        <v>0</v>
      </c>
      <c r="F48" s="97"/>
      <c r="G48" s="97"/>
    </row>
    <row r="49" spans="1:11" ht="14.4" x14ac:dyDescent="0.3">
      <c r="A49" s="90" t="s">
        <v>295</v>
      </c>
      <c r="B49" s="555"/>
      <c r="C49" s="615"/>
      <c r="D49" s="89"/>
      <c r="E49" s="553">
        <f t="shared" si="2"/>
        <v>0</v>
      </c>
      <c r="F49" s="97"/>
      <c r="G49" s="97"/>
    </row>
    <row r="50" spans="1:11" ht="16.2" x14ac:dyDescent="0.3">
      <c r="A50" s="327" t="s">
        <v>296</v>
      </c>
      <c r="B50" s="69">
        <f>'B. Yhteenveto'!B46</f>
        <v>0</v>
      </c>
      <c r="C50" s="325">
        <f>B155</f>
        <v>0.499</v>
      </c>
      <c r="D50" s="70" t="s">
        <v>297</v>
      </c>
      <c r="E50" s="316">
        <f>B50*C50</f>
        <v>0</v>
      </c>
      <c r="F50" s="97"/>
      <c r="G50" s="97"/>
    </row>
    <row r="51" spans="1:11" ht="14.4" x14ac:dyDescent="0.3">
      <c r="A51" s="318" t="s">
        <v>298</v>
      </c>
      <c r="B51" s="328"/>
      <c r="C51" s="320"/>
      <c r="D51" s="321"/>
      <c r="E51" s="322">
        <f>SUM(E40:E50)</f>
        <v>0</v>
      </c>
      <c r="F51" s="616"/>
      <c r="G51" s="324"/>
      <c r="I51" s="125"/>
      <c r="J51" s="125"/>
    </row>
    <row r="52" spans="1:11" ht="25.2" customHeight="1" x14ac:dyDescent="0.3">
      <c r="A52" s="138" t="s">
        <v>299</v>
      </c>
      <c r="B52" s="329"/>
      <c r="C52" s="330"/>
      <c r="D52" s="331"/>
      <c r="E52" s="332"/>
      <c r="F52" s="333"/>
      <c r="G52" s="334"/>
      <c r="I52" s="125"/>
      <c r="J52" s="125"/>
    </row>
    <row r="53" spans="1:11" ht="14.4" x14ac:dyDescent="0.3">
      <c r="A53" s="335" t="s">
        <v>300</v>
      </c>
      <c r="B53" s="336"/>
      <c r="C53" s="325">
        <f>B146</f>
        <v>7.6999999999999999E-2</v>
      </c>
      <c r="D53" s="312" t="s">
        <v>301</v>
      </c>
      <c r="E53" s="403">
        <f>B53*C53</f>
        <v>0</v>
      </c>
      <c r="F53" s="117"/>
      <c r="G53" s="337"/>
      <c r="I53" s="125"/>
      <c r="J53" s="125"/>
    </row>
    <row r="54" spans="1:11" ht="14.4" x14ac:dyDescent="0.3">
      <c r="A54" s="335" t="s">
        <v>302</v>
      </c>
      <c r="B54" s="336"/>
      <c r="C54" s="534"/>
      <c r="D54" s="312" t="s">
        <v>303</v>
      </c>
      <c r="E54" s="403">
        <f>B54*C54</f>
        <v>0</v>
      </c>
      <c r="F54" s="117"/>
      <c r="G54" s="337"/>
      <c r="I54" s="125"/>
      <c r="J54" s="125"/>
    </row>
    <row r="55" spans="1:11" ht="14.4" x14ac:dyDescent="0.3">
      <c r="A55" s="171" t="s">
        <v>304</v>
      </c>
      <c r="B55" s="336"/>
      <c r="C55" s="325">
        <f>B143</f>
        <v>0.92100000000000004</v>
      </c>
      <c r="D55" s="312" t="s">
        <v>301</v>
      </c>
      <c r="E55" s="403">
        <f>B55*C55</f>
        <v>0</v>
      </c>
      <c r="F55" s="117"/>
      <c r="G55" s="337"/>
      <c r="I55" s="338"/>
      <c r="J55" s="338"/>
    </row>
    <row r="56" spans="1:11" ht="14.4" x14ac:dyDescent="0.3">
      <c r="A56" s="171" t="s">
        <v>305</v>
      </c>
      <c r="B56" s="336"/>
      <c r="C56" s="325">
        <f>B144</f>
        <v>0.51</v>
      </c>
      <c r="D56" s="312" t="s">
        <v>301</v>
      </c>
      <c r="E56" s="403">
        <f>B56*C56</f>
        <v>0</v>
      </c>
      <c r="F56" s="117"/>
      <c r="G56" s="339"/>
      <c r="I56" s="338"/>
      <c r="J56" s="338"/>
    </row>
    <row r="57" spans="1:11" x14ac:dyDescent="0.3">
      <c r="A57" s="318" t="s">
        <v>306</v>
      </c>
      <c r="B57" s="328"/>
      <c r="C57" s="320"/>
      <c r="D57" s="321"/>
      <c r="E57" s="322">
        <f>SUM(E53:E56)</f>
        <v>0</v>
      </c>
      <c r="F57" s="323"/>
      <c r="G57" s="324"/>
      <c r="I57" s="340"/>
      <c r="J57" s="338"/>
      <c r="K57" s="338"/>
    </row>
    <row r="58" spans="1:11" ht="25.2" customHeight="1" x14ac:dyDescent="0.3">
      <c r="A58" s="138" t="s">
        <v>307</v>
      </c>
      <c r="B58" s="329"/>
      <c r="C58" s="330"/>
      <c r="D58" s="331"/>
      <c r="E58" s="332"/>
      <c r="F58" s="341"/>
      <c r="G58" s="342"/>
      <c r="I58" s="343"/>
    </row>
    <row r="59" spans="1:11" x14ac:dyDescent="0.3">
      <c r="A59" s="327" t="s">
        <v>308</v>
      </c>
      <c r="B59" s="310"/>
      <c r="C59" s="344">
        <f>B160</f>
        <v>24.6</v>
      </c>
      <c r="D59" s="312" t="s">
        <v>265</v>
      </c>
      <c r="E59" s="403">
        <f t="shared" ref="E59:E68" si="3">B59*C59</f>
        <v>0</v>
      </c>
      <c r="F59" s="117"/>
      <c r="G59" s="97"/>
      <c r="I59" s="343"/>
    </row>
    <row r="60" spans="1:11" x14ac:dyDescent="0.3">
      <c r="A60" s="327" t="s">
        <v>309</v>
      </c>
      <c r="B60" s="310"/>
      <c r="C60" s="344">
        <f>B165</f>
        <v>53.4</v>
      </c>
      <c r="D60" s="312" t="s">
        <v>265</v>
      </c>
      <c r="E60" s="403">
        <f t="shared" si="3"/>
        <v>0</v>
      </c>
      <c r="F60" s="117"/>
      <c r="G60" s="97"/>
      <c r="I60" s="289"/>
    </row>
    <row r="61" spans="1:11" x14ac:dyDescent="0.3">
      <c r="A61" s="327" t="s">
        <v>310</v>
      </c>
      <c r="B61" s="310"/>
      <c r="C61" s="344">
        <f>B166</f>
        <v>72.599999999999994</v>
      </c>
      <c r="D61" s="312" t="s">
        <v>265</v>
      </c>
      <c r="E61" s="403">
        <f t="shared" si="3"/>
        <v>0</v>
      </c>
      <c r="F61" s="117"/>
      <c r="G61" s="97"/>
      <c r="I61" s="289"/>
    </row>
    <row r="62" spans="1:11" x14ac:dyDescent="0.3">
      <c r="A62" s="327" t="s">
        <v>311</v>
      </c>
      <c r="B62" s="310"/>
      <c r="C62" s="344">
        <f>B161</f>
        <v>366</v>
      </c>
      <c r="D62" s="312" t="s">
        <v>265</v>
      </c>
      <c r="E62" s="403">
        <f t="shared" si="3"/>
        <v>0</v>
      </c>
      <c r="F62" s="117"/>
      <c r="G62" s="97"/>
      <c r="I62" s="289"/>
    </row>
    <row r="63" spans="1:11" x14ac:dyDescent="0.3">
      <c r="A63" s="327" t="s">
        <v>312</v>
      </c>
      <c r="B63" s="310"/>
      <c r="C63" s="344">
        <f>B158</f>
        <v>400</v>
      </c>
      <c r="D63" s="312" t="s">
        <v>265</v>
      </c>
      <c r="E63" s="403">
        <f t="shared" si="3"/>
        <v>0</v>
      </c>
      <c r="F63" s="117"/>
      <c r="G63" s="97"/>
      <c r="I63" s="289"/>
    </row>
    <row r="64" spans="1:11" x14ac:dyDescent="0.3">
      <c r="A64" s="327" t="s">
        <v>295</v>
      </c>
      <c r="B64" s="310"/>
      <c r="C64" s="344">
        <v>13.17</v>
      </c>
      <c r="D64" s="312" t="s">
        <v>265</v>
      </c>
      <c r="E64" s="403">
        <f t="shared" si="3"/>
        <v>0</v>
      </c>
      <c r="F64" s="117"/>
      <c r="G64" s="97"/>
      <c r="I64" s="289"/>
    </row>
    <row r="65" spans="1:12" x14ac:dyDescent="0.3">
      <c r="A65" s="327" t="s">
        <v>313</v>
      </c>
      <c r="B65" s="310"/>
      <c r="C65" s="344">
        <f>B159</f>
        <v>143</v>
      </c>
      <c r="D65" s="312" t="s">
        <v>265</v>
      </c>
      <c r="E65" s="403">
        <f t="shared" si="3"/>
        <v>0</v>
      </c>
      <c r="F65" s="117"/>
      <c r="G65" s="97"/>
      <c r="I65" s="289"/>
    </row>
    <row r="66" spans="1:12" x14ac:dyDescent="0.3">
      <c r="A66" s="327" t="s">
        <v>314</v>
      </c>
      <c r="B66" s="310"/>
      <c r="C66" s="344">
        <f>B163</f>
        <v>56.7</v>
      </c>
      <c r="D66" s="312" t="s">
        <v>265</v>
      </c>
      <c r="E66" s="403">
        <f t="shared" si="3"/>
        <v>0</v>
      </c>
      <c r="F66" s="117"/>
      <c r="G66" s="97"/>
      <c r="I66" s="289"/>
    </row>
    <row r="67" spans="1:12" ht="28.8" x14ac:dyDescent="0.3">
      <c r="A67" s="345" t="s">
        <v>315</v>
      </c>
      <c r="B67" s="310"/>
      <c r="C67" s="344">
        <f>B164</f>
        <v>1170</v>
      </c>
      <c r="D67" s="312" t="s">
        <v>265</v>
      </c>
      <c r="E67" s="403">
        <f t="shared" si="3"/>
        <v>0</v>
      </c>
      <c r="F67" s="117"/>
      <c r="G67" s="97"/>
      <c r="I67" s="289"/>
    </row>
    <row r="68" spans="1:12" x14ac:dyDescent="0.3">
      <c r="A68" s="345" t="s">
        <v>316</v>
      </c>
      <c r="B68" s="310"/>
      <c r="C68" s="344">
        <v>1125</v>
      </c>
      <c r="D68" s="312" t="s">
        <v>265</v>
      </c>
      <c r="E68" s="403">
        <f t="shared" si="3"/>
        <v>0</v>
      </c>
      <c r="F68" s="117"/>
      <c r="G68" s="97"/>
      <c r="I68" s="289"/>
    </row>
    <row r="69" spans="1:12" ht="30" x14ac:dyDescent="0.3">
      <c r="A69" s="345" t="s">
        <v>317</v>
      </c>
      <c r="B69" s="392"/>
      <c r="C69" s="344"/>
      <c r="D69" s="312"/>
      <c r="E69" s="310"/>
      <c r="F69" s="117"/>
      <c r="G69" s="97"/>
      <c r="I69" s="289"/>
    </row>
    <row r="70" spans="1:12" ht="14.4" x14ac:dyDescent="0.3">
      <c r="A70" s="318" t="s">
        <v>318</v>
      </c>
      <c r="B70" s="328"/>
      <c r="C70" s="320"/>
      <c r="D70" s="321"/>
      <c r="E70" s="322">
        <f>SUM(E59:E69)</f>
        <v>0</v>
      </c>
      <c r="F70" s="323"/>
      <c r="G70" s="346"/>
    </row>
    <row r="71" spans="1:12" ht="25.2" customHeight="1" x14ac:dyDescent="0.3">
      <c r="A71" s="138" t="s">
        <v>319</v>
      </c>
      <c r="B71" s="347" t="s">
        <v>211</v>
      </c>
      <c r="C71" s="330"/>
      <c r="D71" s="331"/>
      <c r="E71" s="348"/>
      <c r="F71" s="333"/>
      <c r="G71" s="349"/>
    </row>
    <row r="72" spans="1:12" ht="28.8" x14ac:dyDescent="0.3">
      <c r="A72" s="68" t="s">
        <v>320</v>
      </c>
      <c r="B72" s="336"/>
      <c r="C72" s="384">
        <f>B149</f>
        <v>0.1399</v>
      </c>
      <c r="D72" s="350" t="s">
        <v>321</v>
      </c>
      <c r="E72" s="404">
        <f>B72*C72</f>
        <v>0</v>
      </c>
      <c r="F72" s="229"/>
      <c r="G72" s="314"/>
      <c r="I72" s="125"/>
    </row>
    <row r="73" spans="1:12" ht="14.4" x14ac:dyDescent="0.3">
      <c r="A73" s="327" t="s">
        <v>322</v>
      </c>
      <c r="B73" s="336"/>
      <c r="C73" s="351">
        <f>B151</f>
        <v>0.14299999999999999</v>
      </c>
      <c r="D73" s="352" t="s">
        <v>323</v>
      </c>
      <c r="E73" s="405">
        <f>B73*C73</f>
        <v>0</v>
      </c>
      <c r="F73" s="117"/>
      <c r="G73" s="337"/>
      <c r="I73" s="125"/>
    </row>
    <row r="74" spans="1:12" ht="14.4" x14ac:dyDescent="0.3">
      <c r="A74" s="327" t="s">
        <v>324</v>
      </c>
      <c r="B74" s="336"/>
      <c r="C74" s="351">
        <f>B153</f>
        <v>7.9000000000000001E-2</v>
      </c>
      <c r="D74" s="352" t="s">
        <v>323</v>
      </c>
      <c r="E74" s="406">
        <f>B74*C74</f>
        <v>0</v>
      </c>
      <c r="F74" s="117"/>
      <c r="G74" s="337"/>
      <c r="I74" s="125"/>
    </row>
    <row r="75" spans="1:12" ht="14.4" x14ac:dyDescent="0.3">
      <c r="A75" s="327" t="s">
        <v>325</v>
      </c>
      <c r="B75" s="336"/>
      <c r="C75" s="351">
        <f>B154</f>
        <v>7.9000000000000001E-2</v>
      </c>
      <c r="D75" s="352" t="s">
        <v>323</v>
      </c>
      <c r="E75" s="406">
        <f>B75*C75</f>
        <v>0</v>
      </c>
      <c r="F75" s="117"/>
      <c r="G75" s="337"/>
      <c r="I75" s="125"/>
    </row>
    <row r="76" spans="1:12" ht="14.4" x14ac:dyDescent="0.3">
      <c r="A76" s="318" t="s">
        <v>326</v>
      </c>
      <c r="B76" s="328"/>
      <c r="C76" s="354"/>
      <c r="D76" s="321"/>
      <c r="E76" s="322">
        <f>SUM(E72:E75)</f>
        <v>0</v>
      </c>
      <c r="F76" s="323"/>
      <c r="G76" s="324"/>
      <c r="I76" s="125"/>
      <c r="J76" s="355"/>
      <c r="K76" s="355"/>
      <c r="L76" s="355"/>
    </row>
    <row r="77" spans="1:12" ht="25.2" customHeight="1" x14ac:dyDescent="0.3">
      <c r="A77" s="138" t="s">
        <v>327</v>
      </c>
      <c r="B77" s="329"/>
      <c r="C77" s="356"/>
      <c r="D77" s="331"/>
      <c r="E77" s="332"/>
      <c r="F77" s="333"/>
      <c r="G77" s="349"/>
    </row>
    <row r="78" spans="1:12" ht="14.4" x14ac:dyDescent="0.3">
      <c r="A78" s="68" t="s">
        <v>328</v>
      </c>
      <c r="B78" s="336"/>
      <c r="C78" s="357"/>
      <c r="D78" s="312"/>
      <c r="E78" s="353"/>
      <c r="F78" s="117"/>
      <c r="G78" s="314"/>
    </row>
    <row r="79" spans="1:12" ht="14.4" x14ac:dyDescent="0.3">
      <c r="A79" s="358" t="s">
        <v>329</v>
      </c>
      <c r="B79" s="336"/>
      <c r="C79" s="357"/>
      <c r="D79" s="312"/>
      <c r="E79" s="353"/>
      <c r="F79" s="117"/>
      <c r="G79" s="152"/>
    </row>
    <row r="80" spans="1:12" ht="14.4" x14ac:dyDescent="0.3">
      <c r="A80" s="171" t="s">
        <v>330</v>
      </c>
      <c r="B80" s="336"/>
      <c r="C80" s="357"/>
      <c r="D80" s="312"/>
      <c r="E80" s="353"/>
      <c r="F80" s="117"/>
      <c r="G80" s="244"/>
    </row>
    <row r="81" spans="1:9" ht="14.4" x14ac:dyDescent="0.3">
      <c r="A81" s="318" t="s">
        <v>331</v>
      </c>
      <c r="B81" s="359">
        <f>B78*B79*2*B80</f>
        <v>0</v>
      </c>
      <c r="C81" s="360">
        <f>B149</f>
        <v>0.1399</v>
      </c>
      <c r="D81" s="359" t="s">
        <v>321</v>
      </c>
      <c r="E81" s="322">
        <f>B81*C81</f>
        <v>0</v>
      </c>
      <c r="F81" s="323"/>
      <c r="G81" s="361"/>
      <c r="I81" s="125"/>
    </row>
    <row r="82" spans="1:9" ht="25.2" customHeight="1" x14ac:dyDescent="0.3">
      <c r="A82" s="138" t="s">
        <v>332</v>
      </c>
      <c r="B82" s="331"/>
      <c r="C82" s="356"/>
      <c r="D82" s="331"/>
      <c r="E82" s="332"/>
      <c r="F82" s="333"/>
      <c r="G82" s="362"/>
    </row>
    <row r="83" spans="1:9" ht="14.4" x14ac:dyDescent="0.3">
      <c r="A83" s="171" t="s">
        <v>333</v>
      </c>
      <c r="B83" s="69">
        <f>G.!B16</f>
        <v>0</v>
      </c>
      <c r="C83" s="325">
        <f>B112</f>
        <v>40</v>
      </c>
      <c r="D83" s="363" t="s">
        <v>334</v>
      </c>
      <c r="E83" s="406">
        <f>B83*C83</f>
        <v>0</v>
      </c>
      <c r="F83" s="117"/>
      <c r="G83" s="97"/>
    </row>
    <row r="84" spans="1:9" ht="14.4" x14ac:dyDescent="0.3">
      <c r="A84" s="68" t="s">
        <v>335</v>
      </c>
      <c r="B84" s="69">
        <f>'C.'!B24</f>
        <v>0</v>
      </c>
      <c r="C84" s="325">
        <f>B111</f>
        <v>38</v>
      </c>
      <c r="D84" s="363" t="s">
        <v>334</v>
      </c>
      <c r="E84" s="406">
        <f>B84*C84</f>
        <v>0</v>
      </c>
      <c r="F84" s="117"/>
      <c r="G84" s="244"/>
    </row>
    <row r="85" spans="1:9" ht="14.4" x14ac:dyDescent="0.3">
      <c r="A85" s="318" t="s">
        <v>336</v>
      </c>
      <c r="B85" s="321"/>
      <c r="C85" s="354"/>
      <c r="D85" s="321"/>
      <c r="E85" s="322">
        <f>SUM(E83:E84)</f>
        <v>0</v>
      </c>
      <c r="F85" s="323"/>
      <c r="G85" s="361"/>
    </row>
    <row r="86" spans="1:9" ht="25.2" customHeight="1" x14ac:dyDescent="0.3">
      <c r="A86" s="138" t="s">
        <v>337</v>
      </c>
      <c r="B86" s="347" t="s">
        <v>338</v>
      </c>
      <c r="C86" s="356"/>
      <c r="D86" s="331"/>
      <c r="E86" s="332"/>
      <c r="F86" s="333"/>
      <c r="G86" s="362"/>
    </row>
    <row r="87" spans="1:9" s="289" customFormat="1" x14ac:dyDescent="0.3">
      <c r="A87" s="144" t="s">
        <v>143</v>
      </c>
      <c r="B87" s="364">
        <f>'C.'!B11</f>
        <v>0</v>
      </c>
      <c r="C87" s="325">
        <f t="shared" ref="C87:C92" si="4">B102</f>
        <v>0.56999999999999995</v>
      </c>
      <c r="D87" s="312" t="s">
        <v>339</v>
      </c>
      <c r="E87" s="406">
        <f t="shared" ref="E87:E94" si="5">B87*C87</f>
        <v>0</v>
      </c>
      <c r="F87" s="117"/>
      <c r="G87" s="97"/>
    </row>
    <row r="88" spans="1:9" s="289" customFormat="1" x14ac:dyDescent="0.3">
      <c r="A88" s="144" t="s">
        <v>144</v>
      </c>
      <c r="B88" s="364">
        <f>'C.'!B12</f>
        <v>0</v>
      </c>
      <c r="C88" s="351">
        <f t="shared" si="4"/>
        <v>0.56999999999999995</v>
      </c>
      <c r="D88" s="312" t="s">
        <v>339</v>
      </c>
      <c r="E88" s="406">
        <f t="shared" si="5"/>
        <v>0</v>
      </c>
      <c r="F88" s="117"/>
      <c r="G88" s="97"/>
      <c r="I88" s="340"/>
    </row>
    <row r="89" spans="1:9" s="289" customFormat="1" x14ac:dyDescent="0.3">
      <c r="A89" s="144" t="s">
        <v>145</v>
      </c>
      <c r="B89" s="364">
        <f>'C.'!B13</f>
        <v>0</v>
      </c>
      <c r="C89" s="325">
        <f t="shared" si="4"/>
        <v>0.46</v>
      </c>
      <c r="D89" s="312" t="s">
        <v>339</v>
      </c>
      <c r="E89" s="406">
        <f t="shared" si="5"/>
        <v>0</v>
      </c>
      <c r="F89" s="117"/>
      <c r="G89" s="97"/>
      <c r="I89" s="340"/>
    </row>
    <row r="90" spans="1:9" s="289" customFormat="1" x14ac:dyDescent="0.3">
      <c r="A90" s="376" t="s">
        <v>340</v>
      </c>
      <c r="B90" s="364">
        <f>'C.'!B15</f>
        <v>0</v>
      </c>
      <c r="C90" s="537">
        <f t="shared" si="4"/>
        <v>0.27</v>
      </c>
      <c r="D90" s="312" t="s">
        <v>339</v>
      </c>
      <c r="E90" s="406">
        <f>B90*C90</f>
        <v>0</v>
      </c>
      <c r="F90" s="117"/>
      <c r="G90" s="97"/>
      <c r="I90" s="340"/>
    </row>
    <row r="91" spans="1:9" s="289" customFormat="1" x14ac:dyDescent="0.3">
      <c r="A91" s="376" t="s">
        <v>196</v>
      </c>
      <c r="B91" s="364">
        <f>'C.'!B14</f>
        <v>0</v>
      </c>
      <c r="C91" s="537">
        <f t="shared" si="4"/>
        <v>0.26</v>
      </c>
      <c r="D91" s="312" t="s">
        <v>339</v>
      </c>
      <c r="E91" s="406">
        <f>B91*C91</f>
        <v>0</v>
      </c>
      <c r="F91" s="117"/>
      <c r="G91" s="97"/>
      <c r="I91" s="340"/>
    </row>
    <row r="92" spans="1:9" s="289" customFormat="1" x14ac:dyDescent="0.3">
      <c r="A92" s="90" t="s">
        <v>197</v>
      </c>
      <c r="B92" s="364">
        <f>'C.'!B17</f>
        <v>0</v>
      </c>
      <c r="C92" s="325">
        <f t="shared" si="4"/>
        <v>0.39</v>
      </c>
      <c r="D92" s="350" t="s">
        <v>285</v>
      </c>
      <c r="E92" s="406">
        <f t="shared" si="5"/>
        <v>0</v>
      </c>
      <c r="F92" s="117"/>
      <c r="G92" s="104"/>
      <c r="I92" s="340"/>
    </row>
    <row r="93" spans="1:9" s="289" customFormat="1" x14ac:dyDescent="0.3">
      <c r="A93" s="90" t="s">
        <v>150</v>
      </c>
      <c r="B93" s="364">
        <f>'C.'!B18</f>
        <v>0</v>
      </c>
      <c r="C93" s="325">
        <f>B109</f>
        <v>0.36</v>
      </c>
      <c r="D93" s="350" t="s">
        <v>285</v>
      </c>
      <c r="E93" s="406">
        <f t="shared" si="5"/>
        <v>0</v>
      </c>
      <c r="F93" s="117"/>
      <c r="G93" s="365"/>
      <c r="I93" s="340"/>
    </row>
    <row r="94" spans="1:9" s="289" customFormat="1" x14ac:dyDescent="0.3">
      <c r="A94" s="151" t="s">
        <v>151</v>
      </c>
      <c r="B94" s="581">
        <f>'C.'!B19</f>
        <v>0</v>
      </c>
      <c r="C94" s="552">
        <f>B108</f>
        <v>0.36</v>
      </c>
      <c r="D94" s="582" t="s">
        <v>285</v>
      </c>
      <c r="E94" s="583">
        <f t="shared" si="5"/>
        <v>0</v>
      </c>
      <c r="F94" s="95"/>
      <c r="G94" s="339"/>
      <c r="I94" s="340"/>
    </row>
    <row r="95" spans="1:9" ht="14.4" x14ac:dyDescent="0.3">
      <c r="A95" s="501" t="s">
        <v>341</v>
      </c>
      <c r="B95" s="586"/>
      <c r="C95" s="587"/>
      <c r="D95" s="586"/>
      <c r="E95" s="588">
        <f>SUM(E87:E94)</f>
        <v>0</v>
      </c>
      <c r="F95" s="366"/>
      <c r="G95" s="366"/>
    </row>
    <row r="96" spans="1:9" ht="14.4" x14ac:dyDescent="0.3">
      <c r="A96" s="173" t="s">
        <v>342</v>
      </c>
      <c r="B96" s="367"/>
      <c r="C96" s="367"/>
      <c r="D96" s="368"/>
      <c r="E96" s="369">
        <f>E39+E51+E57+E70+E76+E81+E85+E95</f>
        <v>0</v>
      </c>
      <c r="F96" s="366" t="s">
        <v>343</v>
      </c>
      <c r="G96" s="366"/>
    </row>
    <row r="97" spans="1:8" ht="15" customHeight="1" x14ac:dyDescent="0.3">
      <c r="A97" s="14"/>
      <c r="C97" s="2"/>
      <c r="D97" s="370"/>
      <c r="E97" s="370"/>
      <c r="F97" s="2"/>
      <c r="G97" s="2"/>
    </row>
    <row r="98" spans="1:8" ht="14.4" x14ac:dyDescent="0.3">
      <c r="A98" s="14" t="s">
        <v>344</v>
      </c>
      <c r="C98" s="2"/>
      <c r="D98" s="370"/>
      <c r="E98" s="370"/>
      <c r="F98" s="2"/>
      <c r="G98" s="2"/>
    </row>
    <row r="99" spans="1:8" ht="15" customHeight="1" x14ac:dyDescent="0.3">
      <c r="A99" s="14"/>
      <c r="C99" s="2"/>
      <c r="D99" s="2"/>
      <c r="E99" s="99"/>
    </row>
    <row r="100" spans="1:8" ht="25.2" customHeight="1" x14ac:dyDescent="0.3">
      <c r="A100" s="53" t="s">
        <v>345</v>
      </c>
      <c r="C100" s="125"/>
      <c r="D100" s="585"/>
      <c r="E100" s="371"/>
    </row>
    <row r="101" spans="1:8" ht="25.2" customHeight="1" x14ac:dyDescent="0.3">
      <c r="A101" s="67" t="s">
        <v>219</v>
      </c>
      <c r="B101" s="372" t="s">
        <v>242</v>
      </c>
      <c r="C101" s="67"/>
      <c r="D101" s="701" t="s">
        <v>221</v>
      </c>
      <c r="E101" s="702"/>
      <c r="F101" s="703"/>
      <c r="G101" s="630" t="s">
        <v>222</v>
      </c>
    </row>
    <row r="102" spans="1:8" x14ac:dyDescent="0.3">
      <c r="A102" s="171" t="s">
        <v>346</v>
      </c>
      <c r="B102" s="631">
        <v>0.56999999999999995</v>
      </c>
      <c r="C102" s="373" t="s">
        <v>224</v>
      </c>
      <c r="D102" s="699" t="s">
        <v>347</v>
      </c>
      <c r="E102" s="681"/>
      <c r="F102" s="681"/>
      <c r="G102" s="630"/>
      <c r="H102" s="632" t="s">
        <v>348</v>
      </c>
    </row>
    <row r="103" spans="1:8" x14ac:dyDescent="0.3">
      <c r="A103" s="375" t="s">
        <v>349</v>
      </c>
      <c r="B103" s="631">
        <v>0.56999999999999995</v>
      </c>
      <c r="C103" s="373" t="s">
        <v>224</v>
      </c>
      <c r="D103" s="699" t="s">
        <v>350</v>
      </c>
      <c r="E103" s="681"/>
      <c r="F103" s="681"/>
      <c r="G103" s="630"/>
    </row>
    <row r="104" spans="1:8" x14ac:dyDescent="0.3">
      <c r="A104" s="375" t="s">
        <v>351</v>
      </c>
      <c r="B104" s="631">
        <v>0.46</v>
      </c>
      <c r="C104" s="373" t="s">
        <v>224</v>
      </c>
      <c r="D104" s="699" t="s">
        <v>350</v>
      </c>
      <c r="E104" s="681"/>
      <c r="F104" s="681"/>
      <c r="G104" s="630"/>
    </row>
    <row r="105" spans="1:8" x14ac:dyDescent="0.3">
      <c r="A105" s="376" t="s">
        <v>352</v>
      </c>
      <c r="B105" s="631">
        <v>0.27</v>
      </c>
      <c r="C105" s="535" t="s">
        <v>224</v>
      </c>
      <c r="D105" s="699" t="s">
        <v>353</v>
      </c>
      <c r="E105" s="681"/>
      <c r="F105" s="681"/>
      <c r="G105" s="630"/>
    </row>
    <row r="106" spans="1:8" x14ac:dyDescent="0.3">
      <c r="A106" s="376" t="s">
        <v>196</v>
      </c>
      <c r="B106" s="631">
        <v>0.26</v>
      </c>
      <c r="C106" s="535" t="s">
        <v>224</v>
      </c>
      <c r="D106" s="699" t="s">
        <v>350</v>
      </c>
      <c r="E106" s="681"/>
      <c r="F106" s="681"/>
      <c r="G106" s="630"/>
    </row>
    <row r="107" spans="1:8" x14ac:dyDescent="0.3">
      <c r="A107" s="376" t="s">
        <v>354</v>
      </c>
      <c r="B107" s="644">
        <v>0.39</v>
      </c>
      <c r="C107" s="385" t="s">
        <v>235</v>
      </c>
      <c r="D107" s="699" t="s">
        <v>350</v>
      </c>
      <c r="E107" s="681"/>
      <c r="F107" s="681"/>
      <c r="G107" s="630"/>
    </row>
    <row r="108" spans="1:8" ht="15.6" customHeight="1" x14ac:dyDescent="0.3">
      <c r="A108" s="90" t="s">
        <v>151</v>
      </c>
      <c r="B108" s="634">
        <v>0.36</v>
      </c>
      <c r="C108" s="395" t="s">
        <v>235</v>
      </c>
      <c r="D108" s="699" t="s">
        <v>350</v>
      </c>
      <c r="E108" s="681"/>
      <c r="F108" s="681"/>
      <c r="G108" s="630"/>
    </row>
    <row r="109" spans="1:8" x14ac:dyDescent="0.3">
      <c r="A109" s="90" t="s">
        <v>355</v>
      </c>
      <c r="B109" s="634">
        <v>0.36</v>
      </c>
      <c r="C109" s="395" t="s">
        <v>235</v>
      </c>
      <c r="D109" s="699" t="s">
        <v>350</v>
      </c>
      <c r="E109" s="681"/>
      <c r="F109" s="681"/>
    </row>
    <row r="110" spans="1:8" ht="25.2" customHeight="1" x14ac:dyDescent="0.3">
      <c r="A110" s="67" t="s">
        <v>356</v>
      </c>
      <c r="B110" s="372" t="s">
        <v>242</v>
      </c>
      <c r="C110" s="67"/>
      <c r="D110" s="680" t="s">
        <v>221</v>
      </c>
      <c r="E110" s="680"/>
      <c r="F110" s="680"/>
    </row>
    <row r="111" spans="1:8" x14ac:dyDescent="0.3">
      <c r="A111" s="377" t="s">
        <v>357</v>
      </c>
      <c r="B111" s="645">
        <v>38</v>
      </c>
      <c r="C111" s="562" t="s">
        <v>244</v>
      </c>
      <c r="D111" s="700" t="s">
        <v>358</v>
      </c>
      <c r="E111" s="700"/>
      <c r="F111" s="700"/>
    </row>
    <row r="112" spans="1:8" ht="14.4" x14ac:dyDescent="0.3">
      <c r="A112" s="377" t="s">
        <v>359</v>
      </c>
      <c r="B112" s="645">
        <v>40</v>
      </c>
      <c r="C112" s="562" t="s">
        <v>244</v>
      </c>
      <c r="D112" s="681" t="s">
        <v>360</v>
      </c>
      <c r="E112" s="681"/>
      <c r="F112" s="681"/>
      <c r="G112" s="632" t="s">
        <v>361</v>
      </c>
    </row>
    <row r="113" spans="1:6" ht="25.2" customHeight="1" x14ac:dyDescent="0.3">
      <c r="A113" s="67" t="s">
        <v>362</v>
      </c>
      <c r="B113" s="372" t="s">
        <v>242</v>
      </c>
      <c r="C113" s="67"/>
      <c r="D113" s="680" t="s">
        <v>221</v>
      </c>
      <c r="E113" s="680"/>
      <c r="F113" s="680"/>
    </row>
    <row r="114" spans="1:6" ht="15" customHeight="1" x14ac:dyDescent="0.3">
      <c r="A114" s="90" t="s">
        <v>363</v>
      </c>
      <c r="B114" s="379">
        <v>2600</v>
      </c>
      <c r="C114" s="90" t="s">
        <v>364</v>
      </c>
      <c r="D114" s="682" t="s">
        <v>365</v>
      </c>
      <c r="E114" s="682"/>
      <c r="F114" s="682"/>
    </row>
    <row r="115" spans="1:6" ht="15" customHeight="1" x14ac:dyDescent="0.3">
      <c r="A115" s="90" t="s">
        <v>266</v>
      </c>
      <c r="B115" s="379">
        <v>80</v>
      </c>
      <c r="C115" s="90" t="s">
        <v>364</v>
      </c>
      <c r="D115" s="72" t="s">
        <v>366</v>
      </c>
      <c r="E115" s="612">
        <v>45812</v>
      </c>
      <c r="F115" s="90" t="s">
        <v>367</v>
      </c>
    </row>
    <row r="116" spans="1:6" ht="15" customHeight="1" x14ac:dyDescent="0.3">
      <c r="A116" s="90" t="s">
        <v>267</v>
      </c>
      <c r="B116" s="379">
        <v>94</v>
      </c>
      <c r="C116" s="90" t="s">
        <v>364</v>
      </c>
      <c r="D116" s="72" t="s">
        <v>366</v>
      </c>
      <c r="E116" s="612">
        <v>45812</v>
      </c>
      <c r="F116" s="72"/>
    </row>
    <row r="117" spans="1:6" ht="15" customHeight="1" x14ac:dyDescent="0.3">
      <c r="A117" s="90" t="s">
        <v>268</v>
      </c>
      <c r="B117" s="379">
        <v>200</v>
      </c>
      <c r="C117" s="90" t="s">
        <v>364</v>
      </c>
      <c r="D117" s="72" t="s">
        <v>366</v>
      </c>
      <c r="E117" s="612">
        <v>45812</v>
      </c>
      <c r="F117" s="72"/>
    </row>
    <row r="118" spans="1:6" ht="15" customHeight="1" x14ac:dyDescent="0.3">
      <c r="A118" s="90" t="s">
        <v>269</v>
      </c>
      <c r="B118" s="379">
        <v>480</v>
      </c>
      <c r="C118" s="90" t="s">
        <v>364</v>
      </c>
      <c r="D118" s="72" t="s">
        <v>366</v>
      </c>
      <c r="E118" s="612">
        <v>45812</v>
      </c>
      <c r="F118" s="72"/>
    </row>
    <row r="119" spans="1:6" ht="15" customHeight="1" x14ac:dyDescent="0.3">
      <c r="A119" s="90" t="s">
        <v>270</v>
      </c>
      <c r="B119" s="379">
        <v>240</v>
      </c>
      <c r="C119" s="90" t="s">
        <v>364</v>
      </c>
      <c r="D119" s="72" t="s">
        <v>366</v>
      </c>
      <c r="E119" s="612">
        <v>45812</v>
      </c>
      <c r="F119" s="72"/>
    </row>
    <row r="120" spans="1:6" ht="15" customHeight="1" x14ac:dyDescent="0.3">
      <c r="A120" s="90" t="s">
        <v>271</v>
      </c>
      <c r="B120" s="379">
        <v>620</v>
      </c>
      <c r="C120" s="90" t="s">
        <v>364</v>
      </c>
      <c r="D120" s="72" t="s">
        <v>366</v>
      </c>
      <c r="E120" s="612">
        <v>45812</v>
      </c>
      <c r="F120" s="72"/>
    </row>
    <row r="121" spans="1:6" ht="15" customHeight="1" x14ac:dyDescent="0.3">
      <c r="A121" s="90" t="s">
        <v>272</v>
      </c>
      <c r="B121" s="379">
        <v>710</v>
      </c>
      <c r="C121" s="90" t="s">
        <v>364</v>
      </c>
      <c r="D121" s="72" t="s">
        <v>366</v>
      </c>
      <c r="E121" s="612">
        <v>45812</v>
      </c>
      <c r="F121" s="72"/>
    </row>
    <row r="122" spans="1:6" ht="15" customHeight="1" x14ac:dyDescent="0.3">
      <c r="A122" s="90" t="s">
        <v>273</v>
      </c>
      <c r="B122" s="379">
        <v>480</v>
      </c>
      <c r="C122" s="90" t="s">
        <v>364</v>
      </c>
      <c r="D122" s="72" t="s">
        <v>366</v>
      </c>
      <c r="E122" s="612">
        <v>45812</v>
      </c>
      <c r="F122" s="72"/>
    </row>
    <row r="123" spans="1:6" ht="15" customHeight="1" x14ac:dyDescent="0.3">
      <c r="A123" s="90" t="s">
        <v>272</v>
      </c>
      <c r="B123" s="379">
        <v>590</v>
      </c>
      <c r="C123" s="90" t="s">
        <v>364</v>
      </c>
      <c r="D123" s="72" t="s">
        <v>366</v>
      </c>
      <c r="E123" s="612">
        <v>45812</v>
      </c>
      <c r="F123" s="72"/>
    </row>
    <row r="124" spans="1:6" ht="15" customHeight="1" x14ac:dyDescent="0.3">
      <c r="A124" s="90" t="s">
        <v>274</v>
      </c>
      <c r="B124" s="379">
        <v>500</v>
      </c>
      <c r="C124" s="90" t="s">
        <v>364</v>
      </c>
      <c r="D124" s="72" t="s">
        <v>366</v>
      </c>
      <c r="E124" s="612">
        <v>45812</v>
      </c>
      <c r="F124" s="72"/>
    </row>
    <row r="125" spans="1:6" ht="15" customHeight="1" x14ac:dyDescent="0.3">
      <c r="A125" s="90" t="s">
        <v>275</v>
      </c>
      <c r="B125" s="379">
        <v>660</v>
      </c>
      <c r="C125" s="90" t="s">
        <v>364</v>
      </c>
      <c r="D125" s="72" t="s">
        <v>366</v>
      </c>
      <c r="E125" s="612">
        <v>45812</v>
      </c>
      <c r="F125" s="72"/>
    </row>
    <row r="126" spans="1:6" ht="15" customHeight="1" x14ac:dyDescent="0.3">
      <c r="A126" s="90" t="s">
        <v>276</v>
      </c>
      <c r="B126" s="379">
        <v>700</v>
      </c>
      <c r="C126" s="90" t="s">
        <v>364</v>
      </c>
      <c r="D126" s="72" t="s">
        <v>366</v>
      </c>
      <c r="E126" s="612">
        <v>45812</v>
      </c>
      <c r="F126" s="72"/>
    </row>
    <row r="127" spans="1:6" ht="15" customHeight="1" x14ac:dyDescent="0.3">
      <c r="A127" s="90" t="s">
        <v>277</v>
      </c>
      <c r="B127" s="379">
        <v>910</v>
      </c>
      <c r="C127" s="90" t="s">
        <v>364</v>
      </c>
      <c r="D127" s="72" t="s">
        <v>366</v>
      </c>
      <c r="E127" s="612">
        <v>45812</v>
      </c>
      <c r="F127" s="72"/>
    </row>
    <row r="128" spans="1:6" ht="15" customHeight="1" x14ac:dyDescent="0.3">
      <c r="A128" s="90" t="s">
        <v>291</v>
      </c>
      <c r="B128" s="379"/>
      <c r="C128" s="90"/>
      <c r="D128" s="72"/>
      <c r="E128" s="72"/>
      <c r="F128" s="72"/>
    </row>
    <row r="129" spans="1:8" ht="15" customHeight="1" x14ac:dyDescent="0.3">
      <c r="A129" s="90" t="s">
        <v>292</v>
      </c>
      <c r="B129" s="379"/>
      <c r="C129" s="90"/>
      <c r="D129" s="72"/>
      <c r="E129" s="72"/>
      <c r="F129" s="72"/>
    </row>
    <row r="130" spans="1:8" ht="15" customHeight="1" x14ac:dyDescent="0.3">
      <c r="A130" s="90" t="s">
        <v>293</v>
      </c>
      <c r="B130" s="379"/>
      <c r="C130" s="90"/>
      <c r="D130" s="72"/>
      <c r="E130" s="72"/>
      <c r="F130" s="72"/>
    </row>
    <row r="131" spans="1:8" ht="15" customHeight="1" x14ac:dyDescent="0.3">
      <c r="A131" s="90" t="s">
        <v>294</v>
      </c>
      <c r="B131" s="379"/>
      <c r="C131" s="90"/>
      <c r="D131" s="72"/>
      <c r="E131" s="72"/>
      <c r="F131" s="72"/>
    </row>
    <row r="132" spans="1:8" ht="15" customHeight="1" x14ac:dyDescent="0.3">
      <c r="A132" s="90" t="s">
        <v>295</v>
      </c>
      <c r="B132" s="379"/>
      <c r="C132" s="90"/>
      <c r="D132" s="72"/>
      <c r="E132" s="72"/>
      <c r="F132" s="72"/>
    </row>
    <row r="133" spans="1:8" x14ac:dyDescent="0.3">
      <c r="A133" s="90" t="s">
        <v>368</v>
      </c>
      <c r="B133" s="379">
        <v>8300</v>
      </c>
      <c r="C133" s="90" t="s">
        <v>364</v>
      </c>
      <c r="D133" s="683" t="s">
        <v>369</v>
      </c>
      <c r="E133" s="683"/>
      <c r="F133" s="683"/>
    </row>
    <row r="134" spans="1:8" x14ac:dyDescent="0.3">
      <c r="A134" s="14"/>
      <c r="B134" s="380"/>
      <c r="C134" s="14"/>
      <c r="D134" s="14"/>
      <c r="E134" s="378"/>
    </row>
    <row r="135" spans="1:8" ht="25.2" customHeight="1" x14ac:dyDescent="0.3">
      <c r="A135" s="67" t="s">
        <v>286</v>
      </c>
      <c r="B135" s="372" t="s">
        <v>242</v>
      </c>
      <c r="C135" s="67"/>
      <c r="D135" s="680" t="s">
        <v>221</v>
      </c>
      <c r="E135" s="680"/>
      <c r="F135" s="680"/>
    </row>
    <row r="136" spans="1:8" ht="15" customHeight="1" x14ac:dyDescent="0.3">
      <c r="A136" s="90" t="s">
        <v>370</v>
      </c>
      <c r="B136" s="379">
        <v>5.4</v>
      </c>
      <c r="C136" s="90" t="s">
        <v>285</v>
      </c>
      <c r="D136" s="682" t="s">
        <v>371</v>
      </c>
      <c r="E136" s="682"/>
      <c r="F136" s="682"/>
    </row>
    <row r="137" spans="1:8" ht="15" customHeight="1" x14ac:dyDescent="0.3">
      <c r="A137" s="374" t="s">
        <v>372</v>
      </c>
      <c r="B137" s="590">
        <v>1.2</v>
      </c>
      <c r="C137" s="90" t="s">
        <v>285</v>
      </c>
      <c r="D137" s="395" t="s">
        <v>373</v>
      </c>
      <c r="E137" s="591"/>
      <c r="F137" s="592"/>
      <c r="G137" s="589"/>
    </row>
    <row r="138" spans="1:8" ht="15" customHeight="1" x14ac:dyDescent="0.3">
      <c r="A138" s="374" t="s">
        <v>374</v>
      </c>
      <c r="B138" s="590">
        <v>5.6</v>
      </c>
      <c r="C138" s="90" t="s">
        <v>285</v>
      </c>
      <c r="D138" s="395" t="s">
        <v>375</v>
      </c>
      <c r="E138" s="591"/>
      <c r="F138" s="592"/>
    </row>
    <row r="139" spans="1:8" ht="15" customHeight="1" x14ac:dyDescent="0.3">
      <c r="A139" s="374" t="s">
        <v>376</v>
      </c>
      <c r="B139" s="593">
        <v>0.65080000000000005</v>
      </c>
      <c r="C139" s="374" t="s">
        <v>288</v>
      </c>
      <c r="D139" s="395" t="s">
        <v>377</v>
      </c>
      <c r="E139" s="591"/>
      <c r="F139" s="592"/>
    </row>
    <row r="140" spans="1:8" ht="15" customHeight="1" x14ac:dyDescent="0.3">
      <c r="A140" s="374" t="s">
        <v>378</v>
      </c>
      <c r="B140" s="593">
        <v>0.24390000000000001</v>
      </c>
      <c r="C140" s="374" t="s">
        <v>288</v>
      </c>
      <c r="D140" s="691" t="s">
        <v>377</v>
      </c>
      <c r="E140" s="692"/>
      <c r="F140" s="693"/>
    </row>
    <row r="141" spans="1:8" x14ac:dyDescent="0.3">
      <c r="A141" s="551"/>
      <c r="B141" s="381"/>
      <c r="C141" s="14"/>
      <c r="D141" s="14"/>
      <c r="E141" s="378"/>
    </row>
    <row r="142" spans="1:8" ht="25.2" customHeight="1" x14ac:dyDescent="0.3">
      <c r="A142" s="67" t="s">
        <v>379</v>
      </c>
      <c r="B142" s="372" t="s">
        <v>242</v>
      </c>
      <c r="C142" s="67"/>
      <c r="D142" s="685" t="s">
        <v>380</v>
      </c>
      <c r="E142" s="685"/>
      <c r="F142" s="685"/>
    </row>
    <row r="143" spans="1:8" ht="15.75" customHeight="1" x14ac:dyDescent="0.3">
      <c r="A143" s="375" t="s">
        <v>381</v>
      </c>
      <c r="B143" s="563">
        <v>0.92100000000000004</v>
      </c>
      <c r="C143" s="562" t="s">
        <v>382</v>
      </c>
      <c r="D143" s="684" t="s">
        <v>383</v>
      </c>
      <c r="E143" s="684"/>
      <c r="F143" s="684"/>
      <c r="G143" s="686"/>
      <c r="H143" s="687"/>
    </row>
    <row r="144" spans="1:8" ht="15.75" customHeight="1" x14ac:dyDescent="0.3">
      <c r="A144" s="375" t="s">
        <v>384</v>
      </c>
      <c r="B144" s="564">
        <v>0.51</v>
      </c>
      <c r="C144" s="562" t="s">
        <v>382</v>
      </c>
      <c r="D144" s="684" t="s">
        <v>383</v>
      </c>
      <c r="E144" s="684"/>
      <c r="F144" s="684"/>
      <c r="G144" s="686"/>
      <c r="H144" s="687"/>
    </row>
    <row r="145" spans="1:8" x14ac:dyDescent="0.3">
      <c r="A145" s="374" t="s">
        <v>385</v>
      </c>
      <c r="B145" s="578">
        <v>0.14099999999999999</v>
      </c>
      <c r="C145" s="577" t="s">
        <v>386</v>
      </c>
      <c r="D145" s="694" t="s">
        <v>387</v>
      </c>
      <c r="E145" s="694"/>
      <c r="F145" s="694"/>
    </row>
    <row r="146" spans="1:8" ht="15.75" customHeight="1" x14ac:dyDescent="0.3">
      <c r="A146" s="382" t="s">
        <v>388</v>
      </c>
      <c r="B146" s="578">
        <v>7.6999999999999999E-2</v>
      </c>
      <c r="C146" s="577" t="s">
        <v>386</v>
      </c>
      <c r="D146" s="694" t="s">
        <v>387</v>
      </c>
      <c r="E146" s="694"/>
      <c r="F146" s="694"/>
    </row>
    <row r="147" spans="1:8" ht="15.75" customHeight="1" x14ac:dyDescent="0.3">
      <c r="A147" s="382" t="s">
        <v>389</v>
      </c>
      <c r="B147" s="578">
        <v>5.8000000000000003E-2</v>
      </c>
      <c r="C147" s="577" t="s">
        <v>386</v>
      </c>
      <c r="D147" s="694" t="s">
        <v>387</v>
      </c>
      <c r="E147" s="694"/>
      <c r="F147" s="694"/>
    </row>
    <row r="148" spans="1:8" ht="15.75" customHeight="1" x14ac:dyDescent="0.3">
      <c r="A148" s="374" t="s">
        <v>390</v>
      </c>
      <c r="B148" s="578">
        <v>4.4999999999999998E-2</v>
      </c>
      <c r="C148" s="577" t="s">
        <v>386</v>
      </c>
      <c r="D148" s="694" t="s">
        <v>387</v>
      </c>
      <c r="E148" s="694"/>
      <c r="F148" s="694"/>
    </row>
    <row r="149" spans="1:8" ht="30" x14ac:dyDescent="0.3">
      <c r="A149" s="627" t="s">
        <v>391</v>
      </c>
      <c r="B149" s="557">
        <f>139.9/1000</f>
        <v>0.1399</v>
      </c>
      <c r="C149" s="558" t="s">
        <v>392</v>
      </c>
      <c r="D149" s="695" t="s">
        <v>393</v>
      </c>
      <c r="E149" s="695"/>
      <c r="F149" s="695"/>
    </row>
    <row r="150" spans="1:8" ht="25.2" customHeight="1" x14ac:dyDescent="0.3">
      <c r="A150" s="138" t="s">
        <v>394</v>
      </c>
      <c r="B150" s="372" t="s">
        <v>242</v>
      </c>
      <c r="C150" s="383"/>
      <c r="D150" s="680" t="s">
        <v>221</v>
      </c>
      <c r="E150" s="680"/>
      <c r="F150" s="680"/>
      <c r="G150" s="559"/>
      <c r="H150" s="561"/>
    </row>
    <row r="151" spans="1:8" ht="15" customHeight="1" x14ac:dyDescent="0.3">
      <c r="A151" s="335" t="s">
        <v>395</v>
      </c>
      <c r="B151" s="351">
        <v>0.14299999999999999</v>
      </c>
      <c r="C151" s="560" t="s">
        <v>392</v>
      </c>
      <c r="D151" s="679" t="s">
        <v>396</v>
      </c>
      <c r="E151" s="679"/>
      <c r="F151" s="679"/>
      <c r="G151" s="688" t="s">
        <v>397</v>
      </c>
      <c r="H151" s="689"/>
    </row>
    <row r="152" spans="1:8" ht="15.75" customHeight="1" x14ac:dyDescent="0.3">
      <c r="A152" s="345" t="s">
        <v>398</v>
      </c>
      <c r="B152" s="351">
        <v>0.09</v>
      </c>
      <c r="C152" s="560" t="s">
        <v>392</v>
      </c>
      <c r="D152" s="679" t="s">
        <v>396</v>
      </c>
      <c r="E152" s="679"/>
      <c r="F152" s="679"/>
      <c r="G152" s="690"/>
      <c r="H152" s="689"/>
    </row>
    <row r="153" spans="1:8" ht="15.75" customHeight="1" x14ac:dyDescent="0.3">
      <c r="A153" s="335" t="s">
        <v>399</v>
      </c>
      <c r="B153" s="351">
        <v>7.9000000000000001E-2</v>
      </c>
      <c r="C153" s="560" t="s">
        <v>392</v>
      </c>
      <c r="D153" s="679" t="s">
        <v>396</v>
      </c>
      <c r="E153" s="679"/>
      <c r="F153" s="679"/>
      <c r="G153" s="690"/>
      <c r="H153" s="689"/>
    </row>
    <row r="154" spans="1:8" ht="15" customHeight="1" x14ac:dyDescent="0.3">
      <c r="A154" s="335" t="s">
        <v>400</v>
      </c>
      <c r="B154" s="351">
        <v>7.9000000000000001E-2</v>
      </c>
      <c r="C154" s="560" t="s">
        <v>392</v>
      </c>
      <c r="D154" s="679" t="s">
        <v>396</v>
      </c>
      <c r="E154" s="679"/>
      <c r="F154" s="679"/>
      <c r="G154" s="690"/>
      <c r="H154" s="689"/>
    </row>
    <row r="155" spans="1:8" ht="25.2" customHeight="1" x14ac:dyDescent="0.3">
      <c r="A155" s="386" t="s">
        <v>401</v>
      </c>
      <c r="B155" s="387">
        <f>499/1000</f>
        <v>0.499</v>
      </c>
      <c r="C155" s="388" t="s">
        <v>402</v>
      </c>
      <c r="D155" s="680" t="s">
        <v>221</v>
      </c>
      <c r="E155" s="680"/>
      <c r="F155" s="680"/>
    </row>
    <row r="156" spans="1:8" x14ac:dyDescent="0.3">
      <c r="A156" s="124"/>
      <c r="B156" s="389"/>
      <c r="C156" s="390"/>
      <c r="D156" s="2"/>
      <c r="E156" s="378"/>
    </row>
    <row r="157" spans="1:8" ht="25.2" customHeight="1" x14ac:dyDescent="0.3">
      <c r="A157" s="67" t="s">
        <v>403</v>
      </c>
      <c r="B157" s="372" t="s">
        <v>242</v>
      </c>
      <c r="C157" s="396"/>
      <c r="D157" s="680" t="s">
        <v>221</v>
      </c>
      <c r="E157" s="680"/>
      <c r="F157" s="680"/>
    </row>
    <row r="158" spans="1:8" ht="15" customHeight="1" x14ac:dyDescent="0.3">
      <c r="A158" s="90" t="s">
        <v>404</v>
      </c>
      <c r="B158" s="379">
        <v>400</v>
      </c>
      <c r="C158" s="391" t="s">
        <v>265</v>
      </c>
      <c r="D158" s="678" t="s">
        <v>405</v>
      </c>
      <c r="E158" s="678"/>
      <c r="F158" s="678"/>
    </row>
    <row r="159" spans="1:8" ht="15.75" customHeight="1" x14ac:dyDescent="0.3">
      <c r="A159" s="90" t="s">
        <v>313</v>
      </c>
      <c r="B159" s="379">
        <v>143</v>
      </c>
      <c r="C159" s="391" t="s">
        <v>265</v>
      </c>
      <c r="D159" s="678" t="s">
        <v>405</v>
      </c>
      <c r="E159" s="678"/>
      <c r="F159" s="678"/>
    </row>
    <row r="160" spans="1:8" ht="15.75" customHeight="1" x14ac:dyDescent="0.3">
      <c r="A160" s="90" t="s">
        <v>406</v>
      </c>
      <c r="B160" s="379">
        <v>24.6</v>
      </c>
      <c r="C160" s="391" t="s">
        <v>265</v>
      </c>
      <c r="D160" s="678" t="s">
        <v>405</v>
      </c>
      <c r="E160" s="678"/>
      <c r="F160" s="678"/>
    </row>
    <row r="161" spans="1:6" ht="15.75" customHeight="1" x14ac:dyDescent="0.3">
      <c r="A161" s="90" t="s">
        <v>311</v>
      </c>
      <c r="B161" s="379">
        <v>366</v>
      </c>
      <c r="C161" s="391" t="s">
        <v>265</v>
      </c>
      <c r="D161" s="678" t="s">
        <v>405</v>
      </c>
      <c r="E161" s="678"/>
      <c r="F161" s="678"/>
    </row>
    <row r="162" spans="1:6" ht="15.75" customHeight="1" x14ac:dyDescent="0.3">
      <c r="A162" s="90" t="s">
        <v>407</v>
      </c>
      <c r="B162" s="379">
        <v>119</v>
      </c>
      <c r="C162" s="391" t="s">
        <v>265</v>
      </c>
      <c r="D162" s="678" t="s">
        <v>405</v>
      </c>
      <c r="E162" s="678"/>
      <c r="F162" s="678"/>
    </row>
    <row r="163" spans="1:6" ht="15.75" customHeight="1" x14ac:dyDescent="0.3">
      <c r="A163" s="90" t="s">
        <v>408</v>
      </c>
      <c r="B163" s="379">
        <v>56.7</v>
      </c>
      <c r="C163" s="391" t="s">
        <v>265</v>
      </c>
      <c r="D163" s="678" t="s">
        <v>405</v>
      </c>
      <c r="E163" s="678"/>
      <c r="F163" s="678"/>
    </row>
    <row r="164" spans="1:6" ht="15.75" customHeight="1" x14ac:dyDescent="0.3">
      <c r="A164" s="90" t="s">
        <v>409</v>
      </c>
      <c r="B164" s="379">
        <v>1170</v>
      </c>
      <c r="C164" s="391" t="s">
        <v>265</v>
      </c>
      <c r="D164" s="678" t="s">
        <v>405</v>
      </c>
      <c r="E164" s="678"/>
      <c r="F164" s="678"/>
    </row>
    <row r="165" spans="1:6" ht="15.75" customHeight="1" x14ac:dyDescent="0.3">
      <c r="A165" s="90" t="s">
        <v>410</v>
      </c>
      <c r="B165" s="379">
        <v>53.4</v>
      </c>
      <c r="C165" s="391" t="s">
        <v>265</v>
      </c>
      <c r="D165" s="678" t="s">
        <v>405</v>
      </c>
      <c r="E165" s="678"/>
      <c r="F165" s="678"/>
    </row>
    <row r="166" spans="1:6" ht="15.75" customHeight="1" x14ac:dyDescent="0.3">
      <c r="A166" s="90" t="s">
        <v>411</v>
      </c>
      <c r="B166" s="379">
        <v>72.599999999999994</v>
      </c>
      <c r="C166" s="391" t="s">
        <v>265</v>
      </c>
      <c r="D166" s="678" t="s">
        <v>405</v>
      </c>
      <c r="E166" s="678"/>
      <c r="F166" s="678"/>
    </row>
    <row r="167" spans="1:6" x14ac:dyDescent="0.3">
      <c r="A167" s="29"/>
      <c r="C167" s="589"/>
    </row>
  </sheetData>
  <sheetProtection formatCells="0"/>
  <protectedRanges>
    <protectedRange sqref="C54" name="Alue4"/>
    <protectedRange sqref="B42:B49" name="Alue2"/>
    <protectedRange sqref="C41:C49" name="Alue1"/>
    <protectedRange sqref="F40:G50" name="Alue3"/>
  </protectedRanges>
  <mergeCells count="45">
    <mergeCell ref="D110:F110"/>
    <mergeCell ref="D111:F111"/>
    <mergeCell ref="D108:F108"/>
    <mergeCell ref="D109:F109"/>
    <mergeCell ref="D101:F101"/>
    <mergeCell ref="D105:F105"/>
    <mergeCell ref="D106:F106"/>
    <mergeCell ref="A16:G16"/>
    <mergeCell ref="D102:F102"/>
    <mergeCell ref="D103:F103"/>
    <mergeCell ref="D104:F104"/>
    <mergeCell ref="D107:F107"/>
    <mergeCell ref="D150:F150"/>
    <mergeCell ref="D135:F135"/>
    <mergeCell ref="D142:F142"/>
    <mergeCell ref="G143:H144"/>
    <mergeCell ref="G151:H154"/>
    <mergeCell ref="D136:F136"/>
    <mergeCell ref="D140:F140"/>
    <mergeCell ref="D148:F148"/>
    <mergeCell ref="D149:F149"/>
    <mergeCell ref="D144:F144"/>
    <mergeCell ref="D145:F145"/>
    <mergeCell ref="D146:F146"/>
    <mergeCell ref="D147:F147"/>
    <mergeCell ref="D112:F112"/>
    <mergeCell ref="D114:F114"/>
    <mergeCell ref="D133:F133"/>
    <mergeCell ref="D113:F113"/>
    <mergeCell ref="D143:F143"/>
    <mergeCell ref="D163:F163"/>
    <mergeCell ref="D164:F164"/>
    <mergeCell ref="D165:F165"/>
    <mergeCell ref="D166:F166"/>
    <mergeCell ref="D151:F151"/>
    <mergeCell ref="D152:F152"/>
    <mergeCell ref="D153:F153"/>
    <mergeCell ref="D154:F154"/>
    <mergeCell ref="D158:F158"/>
    <mergeCell ref="D159:F159"/>
    <mergeCell ref="D160:F160"/>
    <mergeCell ref="D161:F161"/>
    <mergeCell ref="D162:F162"/>
    <mergeCell ref="D155:F155"/>
    <mergeCell ref="D157:F15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showGridLines="0" zoomScale="70" zoomScaleNormal="70" workbookViewId="0">
      <pane ySplit="1" topLeftCell="A2" activePane="bottomLeft" state="frozen"/>
      <selection activeCell="B42" sqref="B42"/>
      <selection pane="bottomLeft" activeCell="B10" sqref="B10"/>
    </sheetView>
  </sheetViews>
  <sheetFormatPr defaultColWidth="8.69921875" defaultRowHeight="14.4" x14ac:dyDescent="0.3"/>
  <cols>
    <col min="1" max="1" width="50.69921875" style="2" customWidth="1"/>
    <col min="2" max="2" width="40.5" style="2" customWidth="1"/>
    <col min="3" max="3" width="39.19921875" style="2" customWidth="1"/>
    <col min="4" max="16384" width="8.69921875" style="2"/>
  </cols>
  <sheetData>
    <row r="1" spans="1:4" ht="40.200000000000003" customHeight="1" x14ac:dyDescent="0.45">
      <c r="A1" s="41" t="s">
        <v>412</v>
      </c>
      <c r="C1" s="2" t="s">
        <v>413</v>
      </c>
    </row>
    <row r="2" spans="1:4" ht="15" customHeight="1" x14ac:dyDescent="0.45">
      <c r="A2" s="41"/>
    </row>
    <row r="3" spans="1:4" ht="18" x14ac:dyDescent="0.35">
      <c r="A3" s="407"/>
      <c r="B3" s="408"/>
      <c r="C3" s="409"/>
      <c r="D3" s="410"/>
    </row>
    <row r="4" spans="1:4" x14ac:dyDescent="0.3">
      <c r="A4" s="411" t="s">
        <v>414</v>
      </c>
      <c r="B4" s="8"/>
      <c r="C4" s="134"/>
    </row>
    <row r="5" spans="1:4" x14ac:dyDescent="0.3">
      <c r="A5" s="412" t="s">
        <v>415</v>
      </c>
      <c r="B5" s="8"/>
      <c r="C5" s="134"/>
      <c r="D5" s="410"/>
    </row>
    <row r="6" spans="1:4" x14ac:dyDescent="0.3">
      <c r="A6" s="411" t="s">
        <v>416</v>
      </c>
      <c r="B6" s="8"/>
      <c r="C6" s="134"/>
      <c r="D6" s="410"/>
    </row>
    <row r="7" spans="1:4" ht="15.6" x14ac:dyDescent="0.3">
      <c r="A7" s="413"/>
      <c r="B7" s="294"/>
      <c r="C7" s="414"/>
      <c r="D7" s="410"/>
    </row>
    <row r="8" spans="1:4" ht="25.2" customHeight="1" x14ac:dyDescent="0.3">
      <c r="A8" s="355"/>
    </row>
    <row r="9" spans="1:4" ht="25.2" customHeight="1" x14ac:dyDescent="0.3">
      <c r="A9" s="138" t="s">
        <v>417</v>
      </c>
      <c r="B9" s="347" t="s">
        <v>418</v>
      </c>
      <c r="C9" s="347" t="s">
        <v>419</v>
      </c>
    </row>
    <row r="10" spans="1:4" ht="13.95" customHeight="1" x14ac:dyDescent="0.3">
      <c r="A10" s="171" t="s">
        <v>420</v>
      </c>
      <c r="B10" s="415">
        <f>E.!E39</f>
        <v>0</v>
      </c>
      <c r="C10" s="416" t="e">
        <f>B10/B18</f>
        <v>#DIV/0!</v>
      </c>
    </row>
    <row r="11" spans="1:4" ht="13.95" customHeight="1" x14ac:dyDescent="0.3">
      <c r="A11" s="171" t="s">
        <v>421</v>
      </c>
      <c r="B11" s="417">
        <f>E.!E51</f>
        <v>0</v>
      </c>
      <c r="C11" s="418" t="e">
        <f>B11/B18</f>
        <v>#DIV/0!</v>
      </c>
    </row>
    <row r="12" spans="1:4" ht="13.95" customHeight="1" x14ac:dyDescent="0.3">
      <c r="A12" s="171" t="s">
        <v>422</v>
      </c>
      <c r="B12" s="417">
        <f>E.!E57</f>
        <v>0</v>
      </c>
      <c r="C12" s="418" t="e">
        <f>B12/B18</f>
        <v>#DIV/0!</v>
      </c>
    </row>
    <row r="13" spans="1:4" ht="13.95" customHeight="1" x14ac:dyDescent="0.3">
      <c r="A13" s="171" t="s">
        <v>423</v>
      </c>
      <c r="B13" s="415">
        <f>E.!E81</f>
        <v>0</v>
      </c>
      <c r="C13" s="416" t="e">
        <f>B13/B18</f>
        <v>#DIV/0!</v>
      </c>
    </row>
    <row r="14" spans="1:4" ht="13.95" customHeight="1" x14ac:dyDescent="0.3">
      <c r="A14" s="171" t="s">
        <v>319</v>
      </c>
      <c r="B14" s="417">
        <f>E.!E76</f>
        <v>0</v>
      </c>
      <c r="C14" s="418" t="e">
        <f>B14/B18</f>
        <v>#DIV/0!</v>
      </c>
    </row>
    <row r="15" spans="1:4" ht="13.95" customHeight="1" x14ac:dyDescent="0.3">
      <c r="A15" s="171" t="s">
        <v>403</v>
      </c>
      <c r="B15" s="417">
        <f>E.!E70</f>
        <v>0</v>
      </c>
      <c r="C15" s="418" t="e">
        <f>B15/B18</f>
        <v>#DIV/0!</v>
      </c>
    </row>
    <row r="16" spans="1:4" ht="13.95" customHeight="1" x14ac:dyDescent="0.3">
      <c r="A16" s="153" t="s">
        <v>332</v>
      </c>
      <c r="B16" s="419">
        <f>E.!E85</f>
        <v>0</v>
      </c>
      <c r="C16" s="420" t="e">
        <f>B16/B18</f>
        <v>#DIV/0!</v>
      </c>
    </row>
    <row r="17" spans="1:3" ht="13.95" customHeight="1" x14ac:dyDescent="0.3">
      <c r="A17" s="90" t="s">
        <v>424</v>
      </c>
      <c r="B17" s="421">
        <f>E.!E95</f>
        <v>0</v>
      </c>
      <c r="C17" s="422" t="e">
        <f>B17/B18</f>
        <v>#DIV/0!</v>
      </c>
    </row>
    <row r="18" spans="1:3" ht="13.95" customHeight="1" x14ac:dyDescent="0.3">
      <c r="A18" s="423" t="s">
        <v>425</v>
      </c>
      <c r="B18" s="424">
        <f>E.!E96</f>
        <v>0</v>
      </c>
      <c r="C18" s="425" t="e">
        <f>SUM(C10:C17)</f>
        <v>#DIV/0!</v>
      </c>
    </row>
    <row r="19" spans="1:3" ht="13.95" customHeight="1" x14ac:dyDescent="0.3">
      <c r="A19" s="426" t="s">
        <v>426</v>
      </c>
      <c r="B19" s="427">
        <f>B18/1000</f>
        <v>0</v>
      </c>
    </row>
    <row r="22" spans="1:3" ht="15.6" x14ac:dyDescent="0.3">
      <c r="A22" s="393" t="s">
        <v>427</v>
      </c>
    </row>
  </sheetData>
  <sheetProtection formatCells="0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showGridLines="0" topLeftCell="A9" zoomScale="80" zoomScaleNormal="80" workbookViewId="0">
      <selection activeCell="B19" sqref="B19"/>
    </sheetView>
  </sheetViews>
  <sheetFormatPr defaultColWidth="8.69921875" defaultRowHeight="14.4" x14ac:dyDescent="0.3"/>
  <cols>
    <col min="1" max="1" width="46" style="2" customWidth="1"/>
    <col min="2" max="2" width="19.5" style="2" customWidth="1"/>
    <col min="3" max="3" width="19" style="2" customWidth="1"/>
    <col min="4" max="4" width="21.69921875" style="2" customWidth="1"/>
    <col min="5" max="5" width="56.59765625" style="2" customWidth="1"/>
    <col min="6" max="16384" width="8.69921875" style="2"/>
  </cols>
  <sheetData>
    <row r="1" spans="1:5" ht="40.200000000000003" customHeight="1" x14ac:dyDescent="0.45">
      <c r="A1" s="41" t="s">
        <v>428</v>
      </c>
    </row>
    <row r="2" spans="1:5" ht="15" customHeight="1" x14ac:dyDescent="0.45">
      <c r="A2" s="41"/>
    </row>
    <row r="3" spans="1:5" ht="15" customHeight="1" x14ac:dyDescent="0.35">
      <c r="A3" s="291"/>
      <c r="B3" s="5"/>
      <c r="C3" s="5"/>
      <c r="D3" s="5"/>
      <c r="E3" s="408"/>
    </row>
    <row r="4" spans="1:5" ht="15" customHeight="1" x14ac:dyDescent="0.3">
      <c r="A4" s="428" t="s">
        <v>429</v>
      </c>
      <c r="B4" s="429"/>
      <c r="C4" s="429"/>
      <c r="D4" s="429"/>
      <c r="E4" s="8"/>
    </row>
    <row r="5" spans="1:5" ht="15" customHeight="1" x14ac:dyDescent="0.3">
      <c r="A5" s="428" t="s">
        <v>430</v>
      </c>
      <c r="B5" s="429"/>
      <c r="C5" s="429"/>
      <c r="D5" s="429"/>
      <c r="E5" s="8"/>
    </row>
    <row r="6" spans="1:5" ht="15" customHeight="1" x14ac:dyDescent="0.3">
      <c r="A6" s="428" t="s">
        <v>431</v>
      </c>
      <c r="B6" s="429"/>
      <c r="C6" s="429"/>
      <c r="D6" s="429"/>
      <c r="E6" s="8"/>
    </row>
    <row r="7" spans="1:5" ht="15" customHeight="1" x14ac:dyDescent="0.3">
      <c r="A7" s="430"/>
      <c r="B7" s="431"/>
      <c r="C7" s="431"/>
      <c r="D7" s="431"/>
      <c r="E7" s="294"/>
    </row>
    <row r="8" spans="1:5" ht="15" customHeight="1" x14ac:dyDescent="0.3">
      <c r="A8" s="432"/>
      <c r="B8" s="433"/>
      <c r="C8" s="433"/>
      <c r="D8" s="433"/>
    </row>
    <row r="9" spans="1:5" ht="15" customHeight="1" x14ac:dyDescent="0.3">
      <c r="A9" s="434"/>
      <c r="B9" s="435"/>
      <c r="C9" s="435"/>
      <c r="D9" s="435"/>
      <c r="E9" s="408"/>
    </row>
    <row r="10" spans="1:5" ht="15" customHeight="1" x14ac:dyDescent="0.3">
      <c r="A10" s="428" t="s">
        <v>432</v>
      </c>
      <c r="B10" s="8"/>
      <c r="C10" s="8"/>
      <c r="D10" s="8"/>
      <c r="E10" s="8"/>
    </row>
    <row r="11" spans="1:5" ht="15" customHeight="1" x14ac:dyDescent="0.3">
      <c r="A11" s="428" t="s">
        <v>433</v>
      </c>
      <c r="B11" s="8"/>
      <c r="C11" s="8"/>
      <c r="D11" s="8"/>
      <c r="E11" s="8"/>
    </row>
    <row r="12" spans="1:5" ht="15" customHeight="1" x14ac:dyDescent="0.3">
      <c r="A12" s="428" t="s">
        <v>434</v>
      </c>
      <c r="B12" s="8"/>
      <c r="C12" s="8"/>
      <c r="D12" s="8"/>
      <c r="E12" s="8"/>
    </row>
    <row r="13" spans="1:5" ht="15" customHeight="1" x14ac:dyDescent="0.3">
      <c r="A13" s="430"/>
      <c r="B13" s="12"/>
      <c r="C13" s="12"/>
      <c r="D13" s="12"/>
      <c r="E13" s="294"/>
    </row>
    <row r="14" spans="1:5" ht="15" customHeight="1" x14ac:dyDescent="0.3"/>
    <row r="15" spans="1:5" ht="43.2" customHeight="1" x14ac:dyDescent="0.3">
      <c r="A15" s="287" t="s">
        <v>435</v>
      </c>
      <c r="B15" s="436" t="s">
        <v>436</v>
      </c>
      <c r="C15" s="437" t="s">
        <v>437</v>
      </c>
      <c r="D15" s="287" t="s">
        <v>438</v>
      </c>
      <c r="E15" s="438" t="s">
        <v>439</v>
      </c>
    </row>
    <row r="16" spans="1:5" ht="30" customHeight="1" x14ac:dyDescent="0.3">
      <c r="A16" s="68" t="s">
        <v>440</v>
      </c>
      <c r="B16" s="439"/>
      <c r="C16" s="440">
        <f>B16</f>
        <v>0</v>
      </c>
      <c r="D16" s="441">
        <f>C16*'C.'!B25</f>
        <v>0</v>
      </c>
      <c r="E16" s="442"/>
    </row>
    <row r="17" spans="1:5" ht="30" customHeight="1" x14ac:dyDescent="0.3">
      <c r="A17" s="222"/>
      <c r="B17" s="619"/>
      <c r="C17" s="620"/>
      <c r="D17" s="621"/>
      <c r="E17" s="622"/>
    </row>
    <row r="18" spans="1:5" ht="43.2" customHeight="1" x14ac:dyDescent="0.3">
      <c r="A18" s="443" t="s">
        <v>441</v>
      </c>
      <c r="B18" s="623" t="s">
        <v>436</v>
      </c>
      <c r="C18" s="624" t="s">
        <v>437</v>
      </c>
      <c r="D18" s="443" t="s">
        <v>438</v>
      </c>
      <c r="E18" s="438" t="s">
        <v>439</v>
      </c>
    </row>
    <row r="19" spans="1:5" ht="30" customHeight="1" x14ac:dyDescent="0.3">
      <c r="A19" s="72" t="s">
        <v>442</v>
      </c>
      <c r="B19" s="103"/>
      <c r="C19" s="440">
        <f>B19</f>
        <v>0</v>
      </c>
      <c r="D19" s="441">
        <f>C19*'C.'!B40</f>
        <v>0</v>
      </c>
      <c r="E19" s="626"/>
    </row>
    <row r="20" spans="1:5" x14ac:dyDescent="0.3">
      <c r="A20" s="225"/>
      <c r="B20" s="99"/>
      <c r="C20" s="99"/>
    </row>
    <row r="21" spans="1:5" x14ac:dyDescent="0.3">
      <c r="A21" s="446"/>
      <c r="B21" s="447"/>
      <c r="C21" s="447"/>
      <c r="D21" s="408"/>
      <c r="E21" s="408"/>
    </row>
    <row r="22" spans="1:5" ht="15.6" x14ac:dyDescent="0.3">
      <c r="A22" s="450" t="s">
        <v>443</v>
      </c>
      <c r="B22" s="8"/>
      <c r="C22" s="293"/>
      <c r="D22" s="568"/>
      <c r="E22" s="8"/>
    </row>
    <row r="23" spans="1:5" ht="15.6" x14ac:dyDescent="0.3">
      <c r="A23" s="448" t="s">
        <v>444</v>
      </c>
      <c r="B23" s="8"/>
      <c r="C23" s="293"/>
      <c r="D23" s="568"/>
      <c r="E23" s="8"/>
    </row>
    <row r="24" spans="1:5" ht="15.6" x14ac:dyDescent="0.3">
      <c r="A24" s="449"/>
      <c r="B24" s="294"/>
      <c r="C24" s="402"/>
      <c r="D24" s="400"/>
      <c r="E24" s="294"/>
    </row>
    <row r="25" spans="1:5" ht="15.6" x14ac:dyDescent="0.3">
      <c r="C25" s="289"/>
      <c r="D25" s="290"/>
      <c r="E25" s="289"/>
    </row>
    <row r="26" spans="1:5" ht="28.8" x14ac:dyDescent="0.3">
      <c r="A26" s="443" t="s">
        <v>445</v>
      </c>
      <c r="B26" s="443" t="s">
        <v>446</v>
      </c>
      <c r="C26" s="443" t="s">
        <v>447</v>
      </c>
      <c r="D26" s="443" t="s">
        <v>448</v>
      </c>
      <c r="E26" s="438" t="s">
        <v>449</v>
      </c>
    </row>
    <row r="27" spans="1:5" ht="30" customHeight="1" x14ac:dyDescent="0.3">
      <c r="A27" s="72" t="s">
        <v>450</v>
      </c>
      <c r="B27" s="444"/>
      <c r="C27" s="445">
        <f>B27</f>
        <v>0</v>
      </c>
      <c r="D27" s="404">
        <f>C27*E.!C81</f>
        <v>0</v>
      </c>
      <c r="E27" s="97"/>
    </row>
  </sheetData>
  <sheetProtection formatCells="0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G40"/>
  <sheetViews>
    <sheetView showGridLines="0" topLeftCell="A9" zoomScale="80" zoomScaleNormal="80" workbookViewId="0">
      <selection activeCell="B40" sqref="B40"/>
    </sheetView>
  </sheetViews>
  <sheetFormatPr defaultColWidth="8.69921875" defaultRowHeight="14.4" x14ac:dyDescent="0.3"/>
  <cols>
    <col min="1" max="1" width="75.69921875" style="2" customWidth="1"/>
    <col min="2" max="2" width="30.19921875" style="2" customWidth="1"/>
    <col min="3" max="3" width="12.19921875" style="2" customWidth="1"/>
    <col min="4" max="5" width="19.5" style="2" customWidth="1"/>
    <col min="6" max="6" width="31.69921875" style="2" customWidth="1"/>
    <col min="7" max="7" width="47.5" style="2" customWidth="1"/>
    <col min="8" max="9" width="8.69921875" style="2"/>
    <col min="10" max="10" width="37" style="2" customWidth="1"/>
    <col min="11" max="11" width="23" style="2" customWidth="1"/>
    <col min="12" max="16384" width="8.69921875" style="2"/>
  </cols>
  <sheetData>
    <row r="1" spans="1:85" s="451" customFormat="1" ht="40.200000000000003" customHeight="1" x14ac:dyDescent="0.45">
      <c r="A1" s="41" t="s">
        <v>451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s="451" customFormat="1" ht="15" customHeight="1" x14ac:dyDescent="0.45">
      <c r="A2" s="4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s="451" customFormat="1" ht="21" x14ac:dyDescent="0.4">
      <c r="A3" s="452"/>
      <c r="B3" s="45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5" s="289" customFormat="1" ht="15.6" x14ac:dyDescent="0.3">
      <c r="A4" s="428" t="s">
        <v>452</v>
      </c>
      <c r="B4" s="45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s="289" customFormat="1" ht="15.6" x14ac:dyDescent="0.3">
      <c r="A5" s="428" t="s">
        <v>453</v>
      </c>
      <c r="B5" s="45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85" s="289" customFormat="1" ht="15.6" x14ac:dyDescent="0.3">
      <c r="A6" s="456"/>
      <c r="B6" s="45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</row>
    <row r="7" spans="1:85" s="289" customFormat="1" ht="15" customHeight="1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</row>
    <row r="8" spans="1:85" s="289" customFormat="1" ht="25.2" customHeight="1" x14ac:dyDescent="0.3">
      <c r="A8" s="458" t="s">
        <v>454</v>
      </c>
      <c r="B8" s="459" t="s">
        <v>455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</row>
    <row r="9" spans="1:85" s="289" customFormat="1" ht="15.6" x14ac:dyDescent="0.3">
      <c r="A9" s="90" t="s">
        <v>456</v>
      </c>
      <c r="B9" s="46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pans="1:85" s="289" customFormat="1" ht="15.6" x14ac:dyDescent="0.3">
      <c r="A10" s="72" t="s">
        <v>457</v>
      </c>
      <c r="B10" s="10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s="289" customFormat="1" ht="15.6" x14ac:dyDescent="0.3">
      <c r="A11" s="72" t="s">
        <v>458</v>
      </c>
      <c r="B11" s="105">
        <f>B9-B10</f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5" s="289" customFormat="1" ht="15.6" x14ac:dyDescent="0.3">
      <c r="A12" s="72" t="s">
        <v>459</v>
      </c>
      <c r="B12" s="10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</row>
    <row r="13" spans="1:85" s="289" customFormat="1" ht="15.6" x14ac:dyDescent="0.3">
      <c r="A13" s="461" t="s">
        <v>460</v>
      </c>
      <c r="B13" s="462" t="e">
        <f>(B12/B11)*100</f>
        <v>#DIV/0!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289" customFormat="1" ht="15.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289" customFormat="1" ht="25.2" customHeight="1" x14ac:dyDescent="0.3">
      <c r="A15" s="458" t="s">
        <v>461</v>
      </c>
      <c r="B15" s="459" t="s">
        <v>455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289" customFormat="1" ht="15.6" x14ac:dyDescent="0.3">
      <c r="A16" s="90" t="s">
        <v>456</v>
      </c>
      <c r="B16" s="46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289" customFormat="1" ht="15.6" x14ac:dyDescent="0.3">
      <c r="A17" s="72" t="s">
        <v>457</v>
      </c>
      <c r="B17" s="10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289" customFormat="1" ht="15.6" x14ac:dyDescent="0.3">
      <c r="A18" s="72" t="s">
        <v>462</v>
      </c>
      <c r="B18" s="105">
        <f>B16-B17</f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289" customFormat="1" ht="15.6" x14ac:dyDescent="0.3">
      <c r="A19" s="72" t="s">
        <v>463</v>
      </c>
      <c r="B19" s="10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289" customFormat="1" ht="15.6" x14ac:dyDescent="0.3">
      <c r="A20" s="461" t="s">
        <v>464</v>
      </c>
      <c r="B20" s="462" t="e">
        <f>(B19/B18)*100</f>
        <v>#DIV/0!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289" customFormat="1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289" customFormat="1" ht="25.2" customHeight="1" x14ac:dyDescent="0.3">
      <c r="A22" s="458" t="s">
        <v>465</v>
      </c>
      <c r="B22" s="459" t="s">
        <v>455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289" customFormat="1" ht="15.6" x14ac:dyDescent="0.3">
      <c r="A23" s="90" t="s">
        <v>456</v>
      </c>
      <c r="B23" s="46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289" customFormat="1" ht="15.6" x14ac:dyDescent="0.3">
      <c r="A24" s="72" t="s">
        <v>457</v>
      </c>
      <c r="B24" s="10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289" customFormat="1" ht="15.6" x14ac:dyDescent="0.3">
      <c r="A25" s="72" t="s">
        <v>466</v>
      </c>
      <c r="B25" s="105">
        <f>B23-B24</f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289" customFormat="1" ht="15.6" x14ac:dyDescent="0.3">
      <c r="A26" s="72" t="s">
        <v>467</v>
      </c>
      <c r="B26" s="10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289" customFormat="1" ht="15.6" x14ac:dyDescent="0.3">
      <c r="A27" s="461" t="s">
        <v>464</v>
      </c>
      <c r="B27" s="462" t="e">
        <f>(B26/B25)*100</f>
        <v>#DIV/0!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289" customFormat="1" ht="15.6" x14ac:dyDescent="0.3">
      <c r="A28" s="285"/>
      <c r="B28" s="46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289" customFormat="1" ht="15.6" x14ac:dyDescent="0.3">
      <c r="A29" s="704" t="s">
        <v>468</v>
      </c>
      <c r="B29" s="70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289" customFormat="1" ht="15.6" x14ac:dyDescent="0.3">
      <c r="A30" s="704"/>
      <c r="B30" s="70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289" customFormat="1" ht="15.6" x14ac:dyDescent="0.3">
      <c r="A31" s="14"/>
      <c r="B31" s="1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289" customFormat="1" ht="25.2" customHeight="1" x14ac:dyDescent="0.3">
      <c r="A32" s="458" t="s">
        <v>469</v>
      </c>
      <c r="B32" s="459" t="s">
        <v>455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289" customFormat="1" ht="15.6" x14ac:dyDescent="0.3">
      <c r="A33" s="90" t="s">
        <v>454</v>
      </c>
      <c r="B33" s="464">
        <f>B9</f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289" customFormat="1" ht="15.6" x14ac:dyDescent="0.3">
      <c r="A34" s="465" t="s">
        <v>470</v>
      </c>
      <c r="B34" s="466">
        <f>B16</f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289" customFormat="1" ht="15.6" x14ac:dyDescent="0.3">
      <c r="A35" s="467" t="s">
        <v>471</v>
      </c>
      <c r="B35" s="466">
        <f>B23</f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289" customFormat="1" ht="15.6" x14ac:dyDescent="0.3">
      <c r="A36" s="72" t="s">
        <v>472</v>
      </c>
      <c r="B36" s="105">
        <f>B33+B34+B35</f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289" customFormat="1" ht="15.6" x14ac:dyDescent="0.3">
      <c r="A37" s="72" t="s">
        <v>457</v>
      </c>
      <c r="B37" s="105">
        <f>B10+B17+B24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289" customFormat="1" ht="15.6" x14ac:dyDescent="0.3">
      <c r="A38" s="72" t="s">
        <v>473</v>
      </c>
      <c r="B38" s="105">
        <f>B36-B37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289" customFormat="1" ht="15.6" x14ac:dyDescent="0.3">
      <c r="A39" s="72" t="s">
        <v>474</v>
      </c>
      <c r="B39" s="10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289" customFormat="1" ht="15.6" x14ac:dyDescent="0.3">
      <c r="A40" s="461" t="s">
        <v>475</v>
      </c>
      <c r="B40" s="462" t="e">
        <f>(B39/B38)*100</f>
        <v>#DIV/0!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</sheetData>
  <sheetProtection algorithmName="SHA-512" hashValue="W+eFWYkD93wOvUtPO/3KG2PZV9D/H5kB9HUY6/adGVYHc5sErMxycQnhti1nPn80tCZOSORTy9uhfcWtInuOyg==" saltValue="cSrrg1PcD5AmXTD56buUHw==" spinCount="100000" sheet="1" objects="1" scenarios="1" formatCells="0"/>
  <mergeCells count="1">
    <mergeCell ref="A29:B30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showGridLines="0" topLeftCell="A11" zoomScale="80" zoomScaleNormal="80" workbookViewId="0">
      <selection activeCell="B22" sqref="B22"/>
    </sheetView>
  </sheetViews>
  <sheetFormatPr defaultColWidth="8.69921875" defaultRowHeight="14.4" x14ac:dyDescent="0.3"/>
  <cols>
    <col min="1" max="1" width="26.59765625" style="2" customWidth="1"/>
    <col min="2" max="3" width="25.69921875" style="2" customWidth="1"/>
    <col min="4" max="4" width="15.69921875" style="2" customWidth="1"/>
    <col min="5" max="5" width="15.5" style="2" customWidth="1"/>
    <col min="6" max="6" width="14.19921875" style="2" customWidth="1"/>
    <col min="7" max="16384" width="8.69921875" style="2"/>
  </cols>
  <sheetData>
    <row r="1" spans="1:6" ht="40.200000000000003" customHeight="1" x14ac:dyDescent="0.45">
      <c r="A1" s="41" t="s">
        <v>476</v>
      </c>
      <c r="B1" s="290"/>
      <c r="D1" s="468"/>
      <c r="E1" s="289"/>
      <c r="F1" s="289"/>
    </row>
    <row r="2" spans="1:6" ht="15" customHeight="1" x14ac:dyDescent="0.45">
      <c r="A2" s="41"/>
      <c r="B2" s="290"/>
      <c r="D2" s="468"/>
      <c r="E2" s="289"/>
      <c r="F2" s="289"/>
    </row>
    <row r="3" spans="1:6" ht="15.6" x14ac:dyDescent="0.3">
      <c r="A3" s="469"/>
      <c r="B3" s="470"/>
      <c r="C3" s="5"/>
      <c r="D3" s="292"/>
      <c r="E3" s="292"/>
      <c r="F3" s="471"/>
    </row>
    <row r="4" spans="1:6" x14ac:dyDescent="0.3">
      <c r="A4" s="10" t="s">
        <v>477</v>
      </c>
      <c r="B4" s="472"/>
      <c r="C4" s="472"/>
      <c r="D4" s="8"/>
      <c r="E4" s="8"/>
      <c r="F4" s="134"/>
    </row>
    <row r="5" spans="1:6" x14ac:dyDescent="0.3">
      <c r="A5" s="10" t="s">
        <v>478</v>
      </c>
      <c r="B5" s="472"/>
      <c r="C5" s="472"/>
      <c r="D5" s="8"/>
      <c r="E5" s="473"/>
      <c r="F5" s="134"/>
    </row>
    <row r="6" spans="1:6" ht="15.6" x14ac:dyDescent="0.3">
      <c r="A6" s="49"/>
      <c r="B6" s="474"/>
      <c r="C6" s="474"/>
      <c r="D6" s="12"/>
      <c r="E6" s="475"/>
      <c r="F6" s="137"/>
    </row>
    <row r="8" spans="1:6" ht="45" customHeight="1" x14ac:dyDescent="0.3">
      <c r="A8" s="65" t="s">
        <v>479</v>
      </c>
      <c r="B8" s="476" t="s">
        <v>480</v>
      </c>
      <c r="C8" s="477" t="s">
        <v>481</v>
      </c>
    </row>
    <row r="9" spans="1:6" ht="28.8" x14ac:dyDescent="0.3">
      <c r="A9" s="478" t="s">
        <v>482</v>
      </c>
      <c r="B9" s="65" t="s">
        <v>483</v>
      </c>
      <c r="C9" s="147" t="s">
        <v>484</v>
      </c>
      <c r="D9" s="65" t="s">
        <v>141</v>
      </c>
      <c r="E9" s="147" t="s">
        <v>485</v>
      </c>
      <c r="F9" s="147" t="s">
        <v>486</v>
      </c>
    </row>
    <row r="10" spans="1:6" x14ac:dyDescent="0.3">
      <c r="A10" s="479" t="s">
        <v>487</v>
      </c>
      <c r="B10" s="480"/>
      <c r="C10" s="480"/>
      <c r="D10" s="444"/>
      <c r="E10" s="481">
        <f>(D10*C10)/1000</f>
        <v>0</v>
      </c>
      <c r="F10" s="481">
        <f>(B10*D10)/1000</f>
        <v>0</v>
      </c>
    </row>
    <row r="11" spans="1:6" x14ac:dyDescent="0.3">
      <c r="A11" s="479" t="s">
        <v>488</v>
      </c>
      <c r="B11" s="480"/>
      <c r="C11" s="480"/>
      <c r="D11" s="482"/>
      <c r="E11" s="481">
        <f>(D11*C11)/1000</f>
        <v>0</v>
      </c>
      <c r="F11" s="481">
        <f>(B11*D11)/1000</f>
        <v>0</v>
      </c>
    </row>
    <row r="12" spans="1:6" x14ac:dyDescent="0.3">
      <c r="A12" s="479" t="s">
        <v>489</v>
      </c>
      <c r="B12" s="480"/>
      <c r="C12" s="480"/>
      <c r="D12" s="444"/>
      <c r="E12" s="481">
        <f>(D12*C12)/1000</f>
        <v>0</v>
      </c>
      <c r="F12" s="481">
        <f>(B12*D12)/1000</f>
        <v>0</v>
      </c>
    </row>
    <row r="13" spans="1:6" ht="28.8" x14ac:dyDescent="0.3">
      <c r="A13" s="567" t="s">
        <v>490</v>
      </c>
      <c r="B13" s="480"/>
      <c r="C13" s="480"/>
      <c r="D13" s="444"/>
      <c r="E13" s="481">
        <f>(D13*C13)/1000</f>
        <v>0</v>
      </c>
      <c r="F13" s="481">
        <f>(B13*D13)/1000</f>
        <v>0</v>
      </c>
    </row>
    <row r="14" spans="1:6" x14ac:dyDescent="0.3">
      <c r="A14" s="567"/>
      <c r="B14" s="480"/>
      <c r="C14" s="480"/>
      <c r="D14" s="444"/>
      <c r="E14" s="481">
        <f t="shared" ref="E14:E20" si="0">(D14*C14)/1000</f>
        <v>0</v>
      </c>
      <c r="F14" s="481">
        <f t="shared" ref="F14:F20" si="1">(B14*D14)/1000</f>
        <v>0</v>
      </c>
    </row>
    <row r="15" spans="1:6" x14ac:dyDescent="0.3">
      <c r="A15" s="567"/>
      <c r="B15" s="480"/>
      <c r="C15" s="480"/>
      <c r="D15" s="444"/>
      <c r="E15" s="481">
        <f t="shared" si="0"/>
        <v>0</v>
      </c>
      <c r="F15" s="481">
        <f t="shared" si="1"/>
        <v>0</v>
      </c>
    </row>
    <row r="16" spans="1:6" x14ac:dyDescent="0.3">
      <c r="A16" s="567"/>
      <c r="B16" s="480"/>
      <c r="C16" s="480"/>
      <c r="D16" s="444"/>
      <c r="E16" s="481">
        <f t="shared" si="0"/>
        <v>0</v>
      </c>
      <c r="F16" s="481">
        <f t="shared" si="1"/>
        <v>0</v>
      </c>
    </row>
    <row r="17" spans="1:9" x14ac:dyDescent="0.3">
      <c r="A17" s="567"/>
      <c r="B17" s="480"/>
      <c r="C17" s="480"/>
      <c r="D17" s="444"/>
      <c r="E17" s="481">
        <f t="shared" si="0"/>
        <v>0</v>
      </c>
      <c r="F17" s="481">
        <f t="shared" si="1"/>
        <v>0</v>
      </c>
    </row>
    <row r="18" spans="1:9" x14ac:dyDescent="0.3">
      <c r="A18" s="567"/>
      <c r="B18" s="480"/>
      <c r="C18" s="480"/>
      <c r="D18" s="444"/>
      <c r="E18" s="481">
        <f t="shared" si="0"/>
        <v>0</v>
      </c>
      <c r="F18" s="481">
        <f t="shared" si="1"/>
        <v>0</v>
      </c>
    </row>
    <row r="19" spans="1:9" x14ac:dyDescent="0.3">
      <c r="A19" s="567"/>
      <c r="B19" s="480"/>
      <c r="C19" s="480"/>
      <c r="D19" s="444"/>
      <c r="E19" s="481">
        <f t="shared" si="0"/>
        <v>0</v>
      </c>
      <c r="F19" s="481">
        <f t="shared" si="1"/>
        <v>0</v>
      </c>
    </row>
    <row r="20" spans="1:9" x14ac:dyDescent="0.3">
      <c r="A20" s="567"/>
      <c r="B20" s="480"/>
      <c r="C20" s="480"/>
      <c r="D20" s="444"/>
      <c r="E20" s="481">
        <f t="shared" si="0"/>
        <v>0</v>
      </c>
      <c r="F20" s="481">
        <f t="shared" si="1"/>
        <v>0</v>
      </c>
    </row>
    <row r="21" spans="1:9" x14ac:dyDescent="0.3">
      <c r="A21" s="705" t="s">
        <v>201</v>
      </c>
      <c r="B21" s="706"/>
      <c r="C21" s="706"/>
      <c r="D21" s="707"/>
      <c r="E21" s="565">
        <f>SUM(E10:E13)</f>
        <v>0</v>
      </c>
      <c r="F21" s="566">
        <f>SUM(F10:F13)</f>
        <v>0</v>
      </c>
    </row>
    <row r="22" spans="1:9" x14ac:dyDescent="0.3">
      <c r="D22" s="483"/>
      <c r="G22" s="484"/>
      <c r="H22" s="484"/>
    </row>
    <row r="23" spans="1:9" ht="27" customHeight="1" x14ac:dyDescent="0.3">
      <c r="A23" s="483"/>
      <c r="G23" s="222"/>
      <c r="H23" s="485"/>
      <c r="I23" s="485"/>
    </row>
  </sheetData>
  <sheetProtection algorithmName="SHA-512" hashValue="n+ZLPvP11bpYs7elJ1PHHmOWgOJ22FjDCUD3+UhRcdS0xmdQKioJ5ZS44b1dM7JtG0X8sULtGKlCmiGiWvtzyw==" saltValue="tZ4ODpzcO01Xi5JDOQvWPA==" spinCount="100000" sheet="1" formatCells="0"/>
  <protectedRanges>
    <protectedRange sqref="A10:D20" name="Alue1"/>
  </protectedRanges>
  <mergeCells count="1">
    <mergeCell ref="A21:D21"/>
  </mergeCells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6C0E329ACE24891A99506AA9C559E" ma:contentTypeVersion="3" ma:contentTypeDescription="Create a new document." ma:contentTypeScope="" ma:versionID="166e683d90025f031902b1e0fe606731">
  <xsd:schema xmlns:xsd="http://www.w3.org/2001/XMLSchema" xmlns:xs="http://www.w3.org/2001/XMLSchema" xmlns:p="http://schemas.microsoft.com/office/2006/metadata/properties" xmlns:ns2="abcfb74d-9960-4482-91bf-27a7bc9fccb2" targetNamespace="http://schemas.microsoft.com/office/2006/metadata/properties" ma:root="true" ma:fieldsID="1da97e8c672931ea4d15cf50abe0bb9e" ns2:_="">
    <xsd:import namespace="abcfb74d-9960-4482-91bf-27a7bc9fcc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fb74d-9960-4482-91bf-27a7bc9fcc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898ADD-B52C-4899-AC39-246D131739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D1B81A-2318-4758-A085-ED726AF77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fb74d-9960-4482-91bf-27a7bc9fcc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BE13D1-853C-4BC9-A3C4-92D66D27C5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A. Ohje</vt:lpstr>
      <vt:lpstr>B. Yhteenveto</vt:lpstr>
      <vt:lpstr>C.</vt:lpstr>
      <vt:lpstr>D.</vt:lpstr>
      <vt:lpstr>E.</vt:lpstr>
      <vt:lpstr>F.</vt:lpstr>
      <vt:lpstr>G.</vt:lpstr>
      <vt:lpstr>H.</vt:lpstr>
      <vt:lpstr>I.</vt:lpstr>
      <vt:lpstr>J.</vt:lpstr>
      <vt:lpstr>K.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Sonja Kattainen</dc:creator>
  <cp:keywords/>
  <dc:description/>
  <cp:lastModifiedBy>Oinas Eveliina</cp:lastModifiedBy>
  <cp:revision/>
  <dcterms:created xsi:type="dcterms:W3CDTF">2015-06-05T18:17:20Z</dcterms:created>
  <dcterms:modified xsi:type="dcterms:W3CDTF">2026-02-03T08:53:40Z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0x010100AF36C0E329ACE24891A99506AA9C559E</vt:lpwstr>
  </property>
</Properties>
</file>