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https://vixteoy-my.sharepoint.com/personal/viivi_kettula_vixte_fi/Documents/Vixte Oy/OPPOT/Puuteollisuus/Puuteollisuuden laskurin korjaukset 21.9_/"/>
    </mc:Choice>
  </mc:AlternateContent>
  <xr:revisionPtr revIDLastSave="51" documentId="11_F6FAE8FC24E9615FA00874BED061482E6CB69842" xr6:coauthVersionLast="47" xr6:coauthVersionMax="47" xr10:uidLastSave="{4EC26BD0-C254-664C-B0EA-9F2DC1371D4D}"/>
  <bookViews>
    <workbookView xWindow="30460" yWindow="600" windowWidth="38140" windowHeight="20880" tabRatio="500" activeTab="4" xr2:uid="{00000000-000D-0000-FFFF-FFFF00000000}"/>
  </bookViews>
  <sheets>
    <sheet name="A. Ohje" sheetId="1" r:id="rId1"/>
    <sheet name="B. Yhteenveto" sheetId="2" r:id="rId2"/>
    <sheet name="C." sheetId="3" r:id="rId3"/>
    <sheet name="D." sheetId="4" r:id="rId4"/>
    <sheet name="E." sheetId="5" r:id="rId5"/>
    <sheet name="F." sheetId="6" r:id="rId6"/>
    <sheet name="G." sheetId="7" r:id="rId7"/>
    <sheet name="H." sheetId="8" r:id="rId8"/>
    <sheet name="I." sheetId="9" r:id="rId9"/>
    <sheet name="J." sheetId="10" r:id="rId10"/>
    <sheet name="K." sheetId="11" r:id="rId11"/>
    <sheet name="L." sheetId="12" r:id="rId12"/>
    <sheet name="M." sheetId="13" r:id="rId13"/>
  </sheets>
  <definedNames>
    <definedName name="Jos_saat_jäteraportin_tämän_kirjanpito_sivun_mukaiset_tiedot_jätehuollon_palveluntarjoajaltasi__ei_tarvitse_täyttää_tätä.">[1]Taul1!$B$8:$XFD$8</definedName>
    <definedName name="Jätelain_uudistus_edellyttää_tarkempaa_jätekirjanpitoa_toiminnanharjoittajalta__yrittäjältä___kun">[1]Taul1!$B$4:$XFD$8</definedName>
    <definedName name="toiminnassa__joka_on_ympäristösuojelain_mukaan_ilmoituksenvaraista">[1]Taul1!$B$6:$XFD$6</definedName>
    <definedName name="toiminnassa__syntyy_vuodessa_vähintää_100_tonnia_jätettä">[1]Taul1!$B$5:$XFD$5</definedName>
    <definedName name="toiminnassa_syntyy_vaarallista_jätettä_tai_POP_jätettä">[1]Taul1!$B$4:$XFD$4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8" i="12" l="1"/>
  <c r="B20" i="12" s="1"/>
  <c r="B64" i="2" s="1"/>
  <c r="B16" i="12"/>
  <c r="B15" i="12"/>
  <c r="B13" i="12"/>
  <c r="E43" i="11"/>
  <c r="E42" i="11"/>
  <c r="E44" i="11" s="1"/>
  <c r="E41" i="11"/>
  <c r="E40" i="11"/>
  <c r="E39" i="11"/>
  <c r="E37" i="11"/>
  <c r="E38" i="11" s="1"/>
  <c r="E36" i="11"/>
  <c r="E34" i="11"/>
  <c r="E33" i="11"/>
  <c r="E32" i="11"/>
  <c r="E35" i="11" s="1"/>
  <c r="E30" i="11"/>
  <c r="E29" i="11"/>
  <c r="E31" i="11" s="1"/>
  <c r="E27" i="11"/>
  <c r="E28" i="11" s="1"/>
  <c r="E26" i="11"/>
  <c r="E25" i="11"/>
  <c r="E24" i="11"/>
  <c r="E23" i="11"/>
  <c r="E22" i="11"/>
  <c r="E21" i="11"/>
  <c r="E19" i="11"/>
  <c r="E18" i="11"/>
  <c r="E17" i="11"/>
  <c r="E20" i="11" s="1"/>
  <c r="E16" i="11"/>
  <c r="E15" i="11"/>
  <c r="E14" i="11"/>
  <c r="E13" i="11"/>
  <c r="B36" i="10"/>
  <c r="B32" i="10"/>
  <c r="B22" i="10"/>
  <c r="F20" i="9"/>
  <c r="E20" i="9"/>
  <c r="F19" i="9"/>
  <c r="E19" i="9"/>
  <c r="F18" i="9"/>
  <c r="E18" i="9"/>
  <c r="F17" i="9"/>
  <c r="E17" i="9"/>
  <c r="F16" i="9"/>
  <c r="E16" i="9"/>
  <c r="F15" i="9"/>
  <c r="E15" i="9"/>
  <c r="F14" i="9"/>
  <c r="E14" i="9"/>
  <c r="F13" i="9"/>
  <c r="E13" i="9"/>
  <c r="F12" i="9"/>
  <c r="E12" i="9"/>
  <c r="F11" i="9"/>
  <c r="F21" i="9" s="1"/>
  <c r="B45" i="2" s="1"/>
  <c r="E11" i="9"/>
  <c r="F10" i="9"/>
  <c r="E10" i="9"/>
  <c r="E21" i="9" s="1"/>
  <c r="B58" i="8"/>
  <c r="B59" i="8" s="1"/>
  <c r="B56" i="8"/>
  <c r="B47" i="8"/>
  <c r="B50" i="8" s="1"/>
  <c r="B37" i="8"/>
  <c r="B36" i="8"/>
  <c r="B38" i="8" s="1"/>
  <c r="B40" i="8" s="1"/>
  <c r="B35" i="8"/>
  <c r="B34" i="8"/>
  <c r="B33" i="8"/>
  <c r="B27" i="8"/>
  <c r="B25" i="8"/>
  <c r="B20" i="8"/>
  <c r="B37" i="2" s="1"/>
  <c r="B18" i="8"/>
  <c r="B13" i="8"/>
  <c r="B11" i="8"/>
  <c r="B155" i="5"/>
  <c r="B149" i="5"/>
  <c r="C94" i="5"/>
  <c r="B94" i="5"/>
  <c r="E94" i="5" s="1"/>
  <c r="C93" i="5"/>
  <c r="B93" i="5"/>
  <c r="E93" i="5" s="1"/>
  <c r="C92" i="5"/>
  <c r="E92" i="5" s="1"/>
  <c r="B92" i="5"/>
  <c r="C91" i="5"/>
  <c r="B91" i="5"/>
  <c r="E91" i="5" s="1"/>
  <c r="C90" i="5"/>
  <c r="B90" i="5"/>
  <c r="E90" i="5" s="1"/>
  <c r="E89" i="5"/>
  <c r="C89" i="5"/>
  <c r="B89" i="5"/>
  <c r="C88" i="5"/>
  <c r="E88" i="5" s="1"/>
  <c r="B88" i="5"/>
  <c r="C87" i="5"/>
  <c r="B87" i="5"/>
  <c r="E87" i="5" s="1"/>
  <c r="E95" i="5" s="1"/>
  <c r="B17" i="6" s="1"/>
  <c r="E84" i="5"/>
  <c r="C84" i="5"/>
  <c r="B84" i="5"/>
  <c r="C83" i="5"/>
  <c r="E83" i="5" s="1"/>
  <c r="E85" i="5" s="1"/>
  <c r="B16" i="6" s="1"/>
  <c r="B83" i="5"/>
  <c r="C81" i="5"/>
  <c r="B81" i="5"/>
  <c r="E81" i="5" s="1"/>
  <c r="B13" i="6" s="1"/>
  <c r="E75" i="5"/>
  <c r="C75" i="5"/>
  <c r="E74" i="5"/>
  <c r="C74" i="5"/>
  <c r="E73" i="5"/>
  <c r="C73" i="5"/>
  <c r="C72" i="5"/>
  <c r="E72" i="5" s="1"/>
  <c r="E76" i="5" s="1"/>
  <c r="B14" i="6" s="1"/>
  <c r="E68" i="5"/>
  <c r="E67" i="5"/>
  <c r="C67" i="5"/>
  <c r="E66" i="5"/>
  <c r="C66" i="5"/>
  <c r="E65" i="5"/>
  <c r="C65" i="5"/>
  <c r="E64" i="5"/>
  <c r="C63" i="5"/>
  <c r="E63" i="5" s="1"/>
  <c r="C62" i="5"/>
  <c r="E62" i="5" s="1"/>
  <c r="C61" i="5"/>
  <c r="E61" i="5" s="1"/>
  <c r="C60" i="5"/>
  <c r="E60" i="5" s="1"/>
  <c r="C59" i="5"/>
  <c r="E59" i="5" s="1"/>
  <c r="E70" i="5" s="1"/>
  <c r="B15" i="6" s="1"/>
  <c r="C56" i="5"/>
  <c r="E56" i="5" s="1"/>
  <c r="E55" i="5"/>
  <c r="C55" i="5"/>
  <c r="E54" i="5"/>
  <c r="C53" i="5"/>
  <c r="E53" i="5" s="1"/>
  <c r="E50" i="5"/>
  <c r="C50" i="5"/>
  <c r="B50" i="5"/>
  <c r="E49" i="5"/>
  <c r="E48" i="5"/>
  <c r="E47" i="5"/>
  <c r="E46" i="5"/>
  <c r="E45" i="5"/>
  <c r="E44" i="5"/>
  <c r="E43" i="5"/>
  <c r="E42" i="5"/>
  <c r="E41" i="5"/>
  <c r="C40" i="5"/>
  <c r="E40" i="5" s="1"/>
  <c r="C38" i="5"/>
  <c r="E38" i="5" s="1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39" i="5" s="1"/>
  <c r="C19" i="5"/>
  <c r="E19" i="5" s="1"/>
  <c r="B28" i="4"/>
  <c r="B35" i="4" s="1"/>
  <c r="B26" i="4"/>
  <c r="C26" i="4" s="1"/>
  <c r="D25" i="4"/>
  <c r="B25" i="4"/>
  <c r="C25" i="4" s="1"/>
  <c r="D24" i="4"/>
  <c r="B24" i="4"/>
  <c r="D23" i="4"/>
  <c r="B23" i="4"/>
  <c r="B19" i="4"/>
  <c r="C19" i="4" s="1"/>
  <c r="B18" i="4"/>
  <c r="C18" i="4" s="1"/>
  <c r="B17" i="4"/>
  <c r="C17" i="4" s="1"/>
  <c r="B16" i="4"/>
  <c r="C16" i="4" s="1"/>
  <c r="B15" i="4"/>
  <c r="C15" i="4" s="1"/>
  <c r="B14" i="4"/>
  <c r="C14" i="4" s="1"/>
  <c r="B13" i="4"/>
  <c r="C13" i="4" s="1"/>
  <c r="B12" i="4"/>
  <c r="C12" i="4" s="1"/>
  <c r="B11" i="4"/>
  <c r="C11" i="4" s="1"/>
  <c r="B10" i="4"/>
  <c r="C10" i="4" s="1"/>
  <c r="B71" i="3"/>
  <c r="C71" i="3" s="1"/>
  <c r="B70" i="3"/>
  <c r="C70" i="3" s="1"/>
  <c r="C69" i="3"/>
  <c r="B69" i="3"/>
  <c r="B68" i="3"/>
  <c r="C68" i="3" s="1"/>
  <c r="D66" i="3"/>
  <c r="C66" i="3"/>
  <c r="B66" i="3"/>
  <c r="B65" i="3"/>
  <c r="C65" i="3" s="1"/>
  <c r="D65" i="3" s="1"/>
  <c r="B64" i="3"/>
  <c r="C64" i="3" s="1"/>
  <c r="D64" i="3" s="1"/>
  <c r="D63" i="3"/>
  <c r="C63" i="3"/>
  <c r="B63" i="3"/>
  <c r="C62" i="3"/>
  <c r="D62" i="3" s="1"/>
  <c r="B62" i="3"/>
  <c r="B52" i="3"/>
  <c r="C52" i="3" s="1"/>
  <c r="B33" i="2" s="1"/>
  <c r="B51" i="3"/>
  <c r="C50" i="3"/>
  <c r="C49" i="3"/>
  <c r="C48" i="3"/>
  <c r="C47" i="3"/>
  <c r="C46" i="3"/>
  <c r="C45" i="3"/>
  <c r="C44" i="3"/>
  <c r="C43" i="3"/>
  <c r="C42" i="3"/>
  <c r="B37" i="3"/>
  <c r="C37" i="3" s="1"/>
  <c r="C36" i="3"/>
  <c r="B36" i="3"/>
  <c r="C35" i="3"/>
  <c r="C34" i="3"/>
  <c r="C33" i="3"/>
  <c r="C32" i="3"/>
  <c r="C31" i="3"/>
  <c r="C30" i="3"/>
  <c r="C29" i="3"/>
  <c r="C28" i="3"/>
  <c r="C27" i="3"/>
  <c r="B63" i="2"/>
  <c r="B59" i="2"/>
  <c r="B38" i="2"/>
  <c r="B36" i="2"/>
  <c r="B29" i="2"/>
  <c r="B28" i="2"/>
  <c r="B27" i="2"/>
  <c r="D27" i="7"/>
  <c r="B62" i="2" s="1"/>
  <c r="C27" i="7"/>
  <c r="D19" i="7"/>
  <c r="B61" i="2" s="1"/>
  <c r="C19" i="7"/>
  <c r="C16" i="7"/>
  <c r="D16" i="7" s="1"/>
  <c r="B60" i="2" s="1"/>
  <c r="E57" i="5" l="1"/>
  <c r="B12" i="6" s="1"/>
  <c r="B51" i="8"/>
  <c r="B39" i="2"/>
  <c r="C72" i="3"/>
  <c r="B30" i="2" s="1"/>
  <c r="B31" i="2" s="1"/>
  <c r="E51" i="5"/>
  <c r="B11" i="6" s="1"/>
  <c r="C11" i="6" s="1"/>
  <c r="B38" i="10"/>
  <c r="B40" i="2" s="1"/>
  <c r="B32" i="2"/>
  <c r="B27" i="12"/>
  <c r="B29" i="12" s="1"/>
  <c r="D71" i="3"/>
  <c r="D72" i="3" s="1"/>
  <c r="E96" i="5"/>
  <c r="B18" i="6" s="1"/>
  <c r="B19" i="6" s="1"/>
  <c r="B25" i="2" s="1"/>
  <c r="B10" i="6"/>
  <c r="B22" i="2"/>
  <c r="C23" i="4"/>
  <c r="B33" i="4"/>
  <c r="B37" i="10"/>
  <c r="B43" i="2" s="1"/>
  <c r="B44" i="2" s="1"/>
  <c r="B21" i="2"/>
  <c r="B34" i="4"/>
  <c r="B29" i="4"/>
  <c r="B23" i="2" s="1"/>
  <c r="C24" i="4"/>
  <c r="B34" i="2" l="1"/>
  <c r="D73" i="3"/>
  <c r="B35" i="2"/>
  <c r="C15" i="6"/>
  <c r="C17" i="6"/>
  <c r="C16" i="6"/>
  <c r="B26" i="2"/>
  <c r="B23" i="12"/>
  <c r="C14" i="6"/>
  <c r="B24" i="2"/>
  <c r="B22" i="12"/>
  <c r="C10" i="6"/>
  <c r="C18" i="6" s="1"/>
  <c r="C13" i="6"/>
  <c r="C12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71" authorId="0" shapeId="0" xr:uid="{00000000-0006-0000-0200-000001000000}">
      <text>
        <r>
          <rPr>
            <sz val="10"/>
            <rFont val="Arial"/>
            <family val="2"/>
          </rPr>
          <t>[Kommenttiketju]
Excel-versiosi avulla voit lukea tämän kommenttiketjun, mutta siihen tehdyt muutokset poistetaan, jos tiedosto avataan uudemmassa Excel-versiossa. Lisätietoja: https://go.microsoft.com/fwlink/?linkid=870924
Kommentti:
    kulutusarvo m3</t>
        </r>
      </text>
    </comment>
    <comment ref="C71" authorId="0" shapeId="0" xr:uid="{00000000-0006-0000-0200-000002000000}">
      <text>
        <r>
          <rPr>
            <sz val="10"/>
            <rFont val="Arial"/>
            <family val="2"/>
          </rPr>
          <t>[Kommenttiketju]
Excel-versiosi avulla voit lukea tämän kommenttiketjun, mutta siihen tehdyt muutokset poistetaan, jos tiedosto avataan uudemmassa Excel-versiossa. Lisätietoja: https://go.microsoft.com/fwlink/?linkid=870924
Kommentti:
    Voit muuttaa kaavassa tehollisen lämpöarvon =9.5 ja tiheyden =0.3 arvoja vastaamaan oikeita nimikkeitä</t>
        </r>
      </text>
    </comment>
  </commentList>
</comments>
</file>

<file path=xl/sharedStrings.xml><?xml version="1.0" encoding="utf-8"?>
<sst xmlns="http://schemas.openxmlformats.org/spreadsheetml/2006/main" count="1041" uniqueCount="706">
  <si>
    <t>Puutuotealan ympäristömittarit</t>
  </si>
  <si>
    <t xml:space="preserve">Tämä työkalu on tarkoitettu puuteollisuuden ympäristövaikutusten mittaamisen, seurannan ja raportoinnin avuksi. Työkalun avulla voit laskea sekä koota muista lähteistä keskeisiä  </t>
  </si>
  <si>
    <t>ympäristövaikutuksia kuvaavia mittaritietoja. Mittaritiedot auttavat seuraamaan ja kehittämään yritysten  ympäristövastuullisuutta sekä viestimään siitä esimerkiksi asiakkaille.</t>
  </si>
  <si>
    <t xml:space="preserve">Ennen mittaritietojen laskemista suosittelemme tutustumaan erilliseen Ympäristömittareiden tausta-aineistoon ja laskentaohjeeseen. </t>
  </si>
  <si>
    <t xml:space="preserve">Välilehdelle B kootaan yhteenveto mittaritiedoista. Osan mittareista voit saada suoraan esim. palveluntarjoajilta ja osan mittaritiedoista voit laskea tämän taulukon välilehdillä. </t>
  </si>
  <si>
    <t>Taulukkoon kannattaa kirjata ylös, mistä tai miten mittaritieto on saatu, jotta seuraavan vuoden tietojen kokoaminen on helpompaa ja tiedot ovat vertailukelpoiset.</t>
  </si>
  <si>
    <t xml:space="preserve">Varmista, että syötät tiedot oikeassa muodossa eli kysytäänkö massaa kiloina (kg) vai tonneina (t), tai energiankulutusta kilowattitunteina (kWh) vai megawattitunteina (MWh). </t>
  </si>
  <si>
    <t>Osa taulukosta on lukittu ja voit syöttää tietoja vain lukitsemattomiin ruutuihin. Kulutus- ja muut lähtötiedot syötetään keltaisiin soluihin ja mittaritiedot koostuvat</t>
  </si>
  <si>
    <t>automaattisesti syötettyjen tietojen perusteella vaaleanpunaisiin soluihin.</t>
  </si>
  <si>
    <t xml:space="preserve">Hiilijalanjälkilaskennassa tiedot syötetään välilehdelle C (scope 1 ja 2) ja E (scope 3) ja tulokset muodostuvat välilehdille D (scope 1 ja 2) ja F (scope 3) </t>
  </si>
  <si>
    <t>Taulukon välilehtien sisällöt</t>
  </si>
  <si>
    <t>A. Ohje</t>
  </si>
  <si>
    <t>B. Yrityksen perustiedot ja mittaritietojen yhteenveto</t>
  </si>
  <si>
    <t>C. Polttoaineiden ja ostoenergian kulutustiedot</t>
  </si>
  <si>
    <t>D. Yhteenveto hiilijalanjälki scope 1 &amp; 2</t>
  </si>
  <si>
    <t>E. Epäsuorien päästöjen kulutustiedot</t>
  </si>
  <si>
    <t>F. Yhteenveto hiilijalanjälki scope 3</t>
  </si>
  <si>
    <t>G. Päästövähennykset</t>
  </si>
  <si>
    <t>H. Materiaalien hukkaosuus (puu, levyt ja metallit)</t>
  </si>
  <si>
    <t xml:space="preserve">I. VOC-päästöt (liuottimien käyttömäärät) </t>
  </si>
  <si>
    <t>J. Jätteiden lajitteluaste</t>
  </si>
  <si>
    <t>K. Jätemäärien muuntotaulukko</t>
  </si>
  <si>
    <t>L. Biogeeninen hiili ja puutuotteiden hiilivarasto</t>
  </si>
  <si>
    <t>M. Mikä luku vastaa mihin kysymykseen (organisaatio / tuote / EPD / asiakaskysely)</t>
  </si>
  <si>
    <t xml:space="preserve">Konepajan ympäristömittareiden laskentatyökalu on kehitetty Savon koulutuskuntayhtymän ja Savonia-ammattikorkeakoulun yhteistyönä Kiertotalousosaamista konepajoille -hankkeessa 2021-2022. </t>
  </si>
  <si>
    <t>Hanke on saanut rahoitusta Suomen itsenäisyyden juhlarahasto Sitralta. Työkalun käyttö on maksutonta.</t>
  </si>
  <si>
    <t>Toivomme, että ilmoitatte meille laskurin tekijöille havaitsemistanne virheistä tai parannusehdotuksista.</t>
  </si>
  <si>
    <t>Yhteystiedot:</t>
  </si>
  <si>
    <t>juha.kauppinen@sakky.fi</t>
  </si>
  <si>
    <t>Laskuriin tehdyt korjaukset tai muutokset</t>
  </si>
  <si>
    <t>7.6.2022 korjattu vaaralloisen jätteen päästökerroin (välilehti E)</t>
  </si>
  <si>
    <t>4.5.2023 päivitetty joitakin päästökertoimia</t>
  </si>
  <si>
    <t>11.3.2024 Scope 1 ja 2 päästökertoimet, välilehti D.</t>
  </si>
  <si>
    <t>11.3.2024 Suomen sähkön- ja lämmöntuotannon keskimääräiset päästökertoimet</t>
  </si>
  <si>
    <t xml:space="preserve">11.3.2024 Päästökertoimet, scope 3, välilehti E. </t>
  </si>
  <si>
    <t>1) Välilehti B rivi 39: "Puumateriaalin hukkaosuus" haki arvon välilehdeltä H, joka laski metallihukkaa. Välilehdelle H lisätty oma laskenta puulle ja levymateriaaleille.</t>
  </si>
  <si>
    <t>2) Välilehti H oli piilotettu, jolloin käyttäjä ei nähnyt mistä hukkaluku muodostui. Välilehti on nyt näkyvissä.</t>
  </si>
  <si>
    <t>3) Välilehti I: VOC-summa laski vain rivit 10–13, vaikka syöttörivejä on 10–20. Yli neljä ainetta syöttänyt sai liian pienen luvun. Summa korjattu koko alueelle.</t>
  </si>
  <si>
    <t>4) Välilehti E rivi 28 ja kerrointaulukon rivi 123: "Vaneri, pinnoitettu koivuvaneri" esiintyi kahdesti. Jälkimmäinen (590 kgCO2e/t) korjattu muotoon "Vaneri, pinnoitettu havuvaneri".</t>
  </si>
  <si>
    <t>5) Välilehti E rivi 39: "Puuhankinnat yhteensä" summasi mukaan myös teräksen (rivi 19) ja alumiinin (rivi 38). Ne siirretty riville 51 "Muut materiaalihankinnat".</t>
  </si>
  <si>
    <t>6) Välilehti D rivi 17: nestekaasu LPG käytti propaanin päästökerrointa (3,0). Korjattu käyttämään LPG:n kerrointa (3,1); kerroin B84 oli aiemmin kytkemättä mihinkään.</t>
  </si>
  <si>
    <t>7) Välilehti C rivit 65–66: uusiutuvan dieselin ja uusiutuvan kevyen polttoöljyn lähdeviittaukset olivat ristissä. Sama virhe välilehdellä E riveillä 90–91. Molemmat korjattu.</t>
  </si>
  <si>
    <t>8) Scope 2: jos sähkön tai kaukolämmön päästökerrointa ei syötetty, scope 2 -päästöt jäivät nollaksi ilman varoitusta. Nyt laskenta käyttää automaattisesti Suomen keskiarvoa ja kertoo sarakkeessa D kumpaa kerrointa käytettiin.</t>
  </si>
  <si>
    <t>9) Välilehti B rivi 35: uusiutuvan energian kokonaisosuudessa oma lämmöntuotanto oli osoittajassa muttei nimittäjässä, jolloin osuus saattoi ylittää 100 %. Korjattu.</t>
  </si>
  <si>
    <t>10) Jakolaskut on suojattu IFERROR-funktiolla, jotta tyhjä taulukko ei näytä #JAKO/0! -virheitä.</t>
  </si>
  <si>
    <t>Uusi välilehti L: puutuotteisiin sitoutunut biogeeninen hiili (hiilivarasto, EN 16449) sekä puupolttoaineen biogeeniset CO2-päästöt, jotka GHG-protokollan mukaan raportoidaan päästöluokkien ulkopuolella. Aiemmassa versiossa yhteenvedossa luki pelkkä "Hiilivarasto?".</t>
  </si>
  <si>
    <t>Uusi välilehti M: mikä luku vastaa mihin kysymykseen — organisaatiotason hiilijalanjälki, tuotteen hiilijalanjälki, EPD-seloste, asiakkaan toimittajakysely, VSME/CSRD ja EUDR. Tämä on laskurin tärkein lisäys: valtaosa alan epäluottamuksesta lukuihin syntyy siitä, että eri tarkoitukseen laskettuja lukuja verrataan keskenään.</t>
  </si>
  <si>
    <t>Välilehti H: oma hukkalaskenta puuraaka-aineelle ja levymateriaaleille (levyhukka on puusepänteollisuuden keskeisin materiaalimittari).</t>
  </si>
  <si>
    <t>Välilehti B: konepajan prosessit (hitsaus, särmäys, koneistus, leikkuuneste) korvattu puutuotealan prosesseilla.</t>
  </si>
  <si>
    <t>Ohjetekstit: viittaukset "konepajaan" korvattu välilehdillä E, F, G ja H.</t>
  </si>
  <si>
    <t>HUOM: tiedosto sisälsi ulkoisen linkin Savon koulutuskuntayhtymän SharePointiin (Jätekirjanpito_pohja.xlsx). Linkki ei ollut käytössä yhdessäkään kaavassa ja on poistettu.</t>
  </si>
  <si>
    <t>Tekijät: alkuperäinen työkalu Savon koulutuskuntayhtymä ja Savonia-ammattikorkeakoulu (Kiertotalousosaamista konepajoille -hanke 2021-2022, rahoitus Sitra). Puutuotealan muokkaus 2025. Korjaukset ja puutuotealan lisäykset 2026: Vixte Oy. Käyttö on maksutonta.</t>
  </si>
  <si>
    <t>Vielä ratkaisematta / liiton päätettäväksi (ks. erillinen muistio):</t>
  </si>
  <si>
    <t>Materiaaliriveille laminaatti, reunanauhat, metallihelat, muovihelat ja lasi ei ole päästökertoimia lainkaan, vaikka rivit ovat taulukossa. Käyttäjä syöttää määrän eikä saa tulosta.</t>
  </si>
  <si>
    <t>Rivi "Lakat" käyttää jauhemaalin kerrointa (5,4 kgCO2/kg, Teknos 2021). Puusepänteollisuuden lakat ja liimat ovat eri tuotteita — kerroin pyydettävä toimittajan EPD:stä.</t>
  </si>
  <si>
    <t>Jätekertoimet ovat HSY 2019. Puujätteen kerroin (143 kgCO2/t) ei vastaa tilannetta, jossa puujäte poltetaan omassa lämpölaitoksessa.</t>
  </si>
  <si>
    <t>Teräksen oletuskerroin 2600 kgCO2e/t (Ruukki 2021) ja hitsauslangan/suojakaasun rivit ovat konepajaperua.</t>
  </si>
  <si>
    <t>Yrityksen perustiedot ja mittaritietojen yhteenveto</t>
  </si>
  <si>
    <t>Tälle sivulle syötetään yrityksen perustiedot sekä kootaan yhteenveto ympäristömittaritiedoista.</t>
  </si>
  <si>
    <t>Perustiedot</t>
  </si>
  <si>
    <t>Yrityksen nimi</t>
  </si>
  <si>
    <t>Yrityksen lyhyt kuvaus</t>
  </si>
  <si>
    <t>Laskennan ja tarkastelun rajaus</t>
  </si>
  <si>
    <t>Tietojen täyttäjä</t>
  </si>
  <si>
    <t>Tarkasteluvuosi</t>
  </si>
  <si>
    <t>Liikevaihto</t>
  </si>
  <si>
    <t>€/a</t>
  </si>
  <si>
    <t>Henkilötyövuosi</t>
  </si>
  <si>
    <t>htv</t>
  </si>
  <si>
    <t>Henkilötyötuntimäärä</t>
  </si>
  <si>
    <t>h</t>
  </si>
  <si>
    <t>Lämmitettävät tilat</t>
  </si>
  <si>
    <t>m2</t>
  </si>
  <si>
    <t>Lämmitysmuoto</t>
  </si>
  <si>
    <t>Ympäristömittarit</t>
  </si>
  <si>
    <t>Yksikkö</t>
  </si>
  <si>
    <t xml:space="preserve">Mistä tieto saatu (esim. palveluntarjoaja, laskettu itse) </t>
  </si>
  <si>
    <t>Ohje</t>
  </si>
  <si>
    <t>Hiilijalanjälki scope 1</t>
  </si>
  <si>
    <t>kgCO2ekv</t>
  </si>
  <si>
    <t xml:space="preserve">Hiilijalanjäljen scope 1 &amp; 2 voi laskea syöttämällä lähtötiedot välilehdelle C ja saat tuloksen välilehdelle D.  </t>
  </si>
  <si>
    <t>Hiilijalanjälki scope 2</t>
  </si>
  <si>
    <t xml:space="preserve">Hiilijalanjälki scope 1&amp;2 </t>
  </si>
  <si>
    <t>tCO2ekv</t>
  </si>
  <si>
    <t>Hiilijalanjälki scope 1&amp;2 suhteessa liikevaihtoon</t>
  </si>
  <si>
    <t>kgCO2ekv /1000 €</t>
  </si>
  <si>
    <t>Hiilijalanjälki jaettuna yrityksen liikevaihdolla. Yksikkönä kg/1000 €</t>
  </si>
  <si>
    <t>Hiilijalanjälki scope 3</t>
  </si>
  <si>
    <t>Hiilijalanjäljen scope 3 voit arvioida syöttämällä lähtötiedot välilehdelle E ja saat tuloksen välilehdelle F.</t>
  </si>
  <si>
    <t>Hiilijalanjälki, scope 3 suhteessa liikevaihtoon</t>
  </si>
  <si>
    <t>kgCO2ekv /1000€</t>
  </si>
  <si>
    <t>Sähköenergiankulutus</t>
  </si>
  <si>
    <t>MWh</t>
  </si>
  <si>
    <t>Tähän sisältyy sekä ostosähkö että mahdollinen oma sähköntuotanto</t>
  </si>
  <si>
    <t>Kaukolämpöenergiankulutus</t>
  </si>
  <si>
    <t>Kulutustieto saadaan suoraan välilehdeltä C.</t>
  </si>
  <si>
    <t>Kaukojäähdytys</t>
  </si>
  <si>
    <t>Polttoaineiden kulutus energiana</t>
  </si>
  <si>
    <t>Kokonaisenergiankulutus</t>
  </si>
  <si>
    <t>Uusiutuvan energian osuus sähkönkulutuksesta</t>
  </si>
  <si>
    <t>%</t>
  </si>
  <si>
    <t>Uusiutuvan energian osuus saadaan suoraan välilehdeltä C</t>
  </si>
  <si>
    <t xml:space="preserve">Uusiutuvan energian osuus kaukolämmön kulutuksesta </t>
  </si>
  <si>
    <t>Uusiutuvan energian osuus polttoaineiden kulutuksesta</t>
  </si>
  <si>
    <t>Uusiutuvan energian osuus kokonaisenergiankulutuksesta</t>
  </si>
  <si>
    <t>Kaikki uusiutuvan energian käyttö jaettuna kokonaisenergiankulutuksella.</t>
  </si>
  <si>
    <t>Hukkaosuus, musta teräs</t>
  </si>
  <si>
    <t>Hukkaosuuden voit laskea välilehdellä H.</t>
  </si>
  <si>
    <t>Hukkaosuus, kirkas teräs</t>
  </si>
  <si>
    <t>Hukkaosuus, muut metallit</t>
  </si>
  <si>
    <t>Puumateriaalin hukkaosuus</t>
  </si>
  <si>
    <t>Puuraaka-aineen hukkaosuuden voit laskea välilehdellä H (kohta "Puumateriaalin hukkaosuus").</t>
  </si>
  <si>
    <t>Lajitteluaste</t>
  </si>
  <si>
    <t xml:space="preserve">Useilta jätehuollon palveluntarjoajalta saat suoraan tiedon yrityksesi lajitteluasteesta. Mikäli tietoa ei saa, voit laskea sen välilehdellä J.  </t>
  </si>
  <si>
    <t>Kierrätysaste</t>
  </si>
  <si>
    <t>Useilta jätehuollon palveluntarjoajalta saat suoraan tiedon yrityksesi kierrätysasteesta.</t>
  </si>
  <si>
    <t>Hyötykäyttöaste</t>
  </si>
  <si>
    <t>Useilta jätehuollon palveluntarjoajalta saat suoraan tiedon yrityksesi hyötykäyttöasteesta.</t>
  </si>
  <si>
    <t>Jätteiden kokonaismäärä t/a</t>
  </si>
  <si>
    <t>t</t>
  </si>
  <si>
    <t>Useilta jätehuollon palveluntarjoajalta saat suoraan tiedon yrityksesi kokonaisjätemäärästä. Mikäli lasket lajitteluasteen itse, saat laskettua myös jätteiden kokonaismäärän välilehdellä J.</t>
  </si>
  <si>
    <t>Jätteiden kokonaismäärä suhteessa liikevaihtoon</t>
  </si>
  <si>
    <t>kg/1000€</t>
  </si>
  <si>
    <t>Kokonaisjätemäärä jaettuna yrityksen liikevaihdolla. Yksikkönä kg/1000 €</t>
  </si>
  <si>
    <t>VOC-päästöt</t>
  </si>
  <si>
    <t>kg</t>
  </si>
  <si>
    <t>Useilta kemikaalitoimittajilta saat suoraan tiedon yrityksesi VOC-päästöistä hankittujen kemikaalien osalta. Vaihtoehtoisesti voit laskea VOC-päästöt välilehdellä I.</t>
  </si>
  <si>
    <t>Vedenkulutus</t>
  </si>
  <si>
    <t>m3</t>
  </si>
  <si>
    <t>Tiedon vedenkulutuksesta saa yleensä suoraan vesilaskusta tai tiedustelemalla veden toimittajalta.</t>
  </si>
  <si>
    <t xml:space="preserve">Pakkausmateriaalin käyttömäärät  </t>
  </si>
  <si>
    <t>Syötä nämä tiedot, mikäli yritys kuuluu pakkausten osalta tuottajavastuun piiriin.</t>
  </si>
  <si>
    <t>Paperikuidut (ml. Pahvi-, paperi- ja kartonkipakkaukset)</t>
  </si>
  <si>
    <t>Muovi</t>
  </si>
  <si>
    <t>Metallit</t>
  </si>
  <si>
    <t>Puu</t>
  </si>
  <si>
    <t>Muut</t>
  </si>
  <si>
    <t>Muita ympäristömittareita</t>
  </si>
  <si>
    <t>Uusiutuvilla energianlähteillä itse tuotettu sähkö</t>
  </si>
  <si>
    <t>Tämä tieto poimitaan välilehdeltä G.</t>
  </si>
  <si>
    <t>Omalla sähköntuotannolla saavutettu päästövähennys (scope 2)</t>
  </si>
  <si>
    <t>Päästövähennyksen voit laskea välilehdellä G.</t>
  </si>
  <si>
    <t>Omalla lämmöntuotannolla saavutettu päästövähennys (scope 2)</t>
  </si>
  <si>
    <t>Työmatkapyöräilyn tukemisella saavutettu päästövähennys (scope 3)</t>
  </si>
  <si>
    <t>Levymateriaalien hukkaosuus</t>
  </si>
  <si>
    <t>Levyhukan voit laskea välilehdellä H. Puusepänteollisuudessa tämä on usein tärkein materiaalimittari.</t>
  </si>
  <si>
    <t>Puutuotteisiin sitoutunut hiili (hiilivarasto)</t>
  </si>
  <si>
    <t>tCO2</t>
  </si>
  <si>
    <t>Laskenta välilehdellä L. HUOM: hiilivarastoa EI vähennetä scope 1–3 päästöistä, vaan se raportoidaan erillisenä lukuna.</t>
  </si>
  <si>
    <t>Oma mittari</t>
  </si>
  <si>
    <t>Tuotantoprosessit (taustatieto)</t>
  </si>
  <si>
    <t>Nämä eivät ole varsinaisia ympäristömittareita, mutta taustatiedot auttavat tulkitsemaan mittarilukuja (esimerkiksi hiilijalanjälkeä tai hukkaosuutta) ja vertaamaan yritystä muihin saman toimialan yrityksiin.</t>
  </si>
  <si>
    <t>Sahaus ja katkaisu</t>
  </si>
  <si>
    <t>Kuinka suuri osuus raaka-aineesta tulee valmiiksi mitallistettuna tai määrämittaan sahattuna (%)</t>
  </si>
  <si>
    <t>Kuivaus omassa kuivaamossa</t>
  </si>
  <si>
    <t>Höyläys ja koneistus (CNC)</t>
  </si>
  <si>
    <t>Liimaus ja puristus</t>
  </si>
  <si>
    <t>Pintakäsittely (maalaus, lakkaus, petsaus, öljyäminen)</t>
  </si>
  <si>
    <t>Kokoonpano ja pakkaus</t>
  </si>
  <si>
    <t>Polttoaineiden ja ostoenergian kulutustiedot</t>
  </si>
  <si>
    <t>Tälle sivulle syötetään tiedot yrityksen toiminnassa tarkasteluvuoden aikana käytetystä polttoaineesta sekä ostetusta sähkö- ja lämpöenergiasta.</t>
  </si>
  <si>
    <t>Näiden tietojen pohjalta saadaan laskettua yrityksen hiilijalanjälki scope 1 ja 2 osalta.</t>
  </si>
  <si>
    <t>Varmista, että syötät tiedot taulukkoon oikeassa muodossa (esim. MWh)</t>
  </si>
  <si>
    <t>Scope 1 Polttoaineiden kulutus (oma energiantuotanto ja ajoneuvot)</t>
  </si>
  <si>
    <t>Polttoaine</t>
  </si>
  <si>
    <t>Kulutus l/a</t>
  </si>
  <si>
    <t>Mistä kulutustieto on saatu? Onko kyseessä tarkka tieto vai arvio?</t>
  </si>
  <si>
    <t>Kevyt polttoöljy (l)</t>
  </si>
  <si>
    <t>Dieselöljy (l)</t>
  </si>
  <si>
    <t>Bensiini (l)</t>
  </si>
  <si>
    <t>Uusiutuva kevyt polttoöljy (l)</t>
  </si>
  <si>
    <t>Uusiutuva diesel (l)</t>
  </si>
  <si>
    <t>Kulutus kg/a</t>
  </si>
  <si>
    <t>Nesteytetty maakaasu (LNG) (kg)</t>
  </si>
  <si>
    <t>Nestekaasu (propaani) (kg)</t>
  </si>
  <si>
    <t>Nestekaasu (LPG, propaanin ja butaanin seos) (kg)</t>
  </si>
  <si>
    <t>Puupohjainen polttoaine, esim. hake (i-m3)</t>
  </si>
  <si>
    <t>Scope 2 Ostettu sähkö ja lämpö</t>
  </si>
  <si>
    <t>Sähkönkulutus</t>
  </si>
  <si>
    <t>MWh/a</t>
  </si>
  <si>
    <t>Ostosähkönkulutus yhteensä (MWh)</t>
  </si>
  <si>
    <t>Sähköntoimittajan ilmoittama päästökerroin (kgCO2ekv/MWh)</t>
  </si>
  <si>
    <t>Jos jätät tämän tyhjäksi, laskenta käyttää automaattisesti Suomen keskiarvoa (38 kgCO2e/MWh). Tarkin luku on sähköntoimittajan oma, jäännösjakaumaan perustuva kerroin.</t>
  </si>
  <si>
    <t>Sähköntuotannon jakautuminen energialähteittäin</t>
  </si>
  <si>
    <t>Osuus kulutetun sähkön tuotannosta (MWh)</t>
  </si>
  <si>
    <t>Aurinkosähkö, tuulivoima tai vesivoima</t>
  </si>
  <si>
    <t>Puuperäiset polttoaineet</t>
  </si>
  <si>
    <t>Muut biopohjaiset polttoaineet (esim. biokaasu)</t>
  </si>
  <si>
    <t>Muu uusiutuva</t>
  </si>
  <si>
    <t>Ydinvoima</t>
  </si>
  <si>
    <t>Maakaasu</t>
  </si>
  <si>
    <t>Kivihiili, maakaasu tai turve</t>
  </si>
  <si>
    <t>Kevyt tai raskas polttoöljy</t>
  </si>
  <si>
    <t>Muu uusiutumaton</t>
  </si>
  <si>
    <t>Yhteensä:</t>
  </si>
  <si>
    <t>Uusiutuvan energian osuus sähkönkulutuksesta %</t>
  </si>
  <si>
    <t>Ostolämmönkulutus</t>
  </si>
  <si>
    <t>Kaukolämmönkulutus yhteensä (MWh)</t>
  </si>
  <si>
    <t>Kaukolämpötoimittajan ilmoittama päästökerroin (kgCO2ekv/MWh) (HUOM! Valitse energiamenetelmällä laskettu päästökerroin)</t>
  </si>
  <si>
    <t>Jos jätät tämän tyhjäksi, laskenta käyttää automaattisesti Suomen keskiarvoa (110 kgCO2e/MWh). Pyydä toimittajalta energiamenetelmällä laskettu kerroin.</t>
  </si>
  <si>
    <t>Kaukolämmöntuotannon jakautuminen energialähteittäin</t>
  </si>
  <si>
    <t>Osuus kulutetun lämmön tuotannosta (MWh)</t>
  </si>
  <si>
    <t>Hukkalämpö</t>
  </si>
  <si>
    <t>Yhdyskuntajäte</t>
  </si>
  <si>
    <t>Uusiutuvan energian osuus kaukolämmönkulutuksesta %</t>
  </si>
  <si>
    <t xml:space="preserve">Jäähdytyksen kulutus </t>
  </si>
  <si>
    <t>Jäähdytyksen toimittajan ilmoittama päästökerroin (kgCO2ekv/MWh)</t>
  </si>
  <si>
    <t xml:space="preserve">Alla olevassa taulukossa polttoaineiden kulutus on muunnettu MWh:ksi, jotta saadaan selville kokonaisenergiankulutus MWh:na. </t>
  </si>
  <si>
    <t xml:space="preserve">MWh </t>
  </si>
  <si>
    <t>Uusiutuvan energian osuus MWh</t>
  </si>
  <si>
    <t>Kulutus kg tai m3/a</t>
  </si>
  <si>
    <t>Uusiutuvan energian osuus polttoaineiden kulutuksesta %</t>
  </si>
  <si>
    <t>Yhteenveto hiilijalanjälki scope 1 &amp; 2</t>
  </si>
  <si>
    <t xml:space="preserve">Tälle sivulle taulukkoon tulevat yhteenvetona scope 1 ja 2 kasvihuonekaasupäästöt. </t>
  </si>
  <si>
    <t>Ne lasketaan automaattisesti edelliselle välilehdelle syötettyjen kulutustietojen ja päästökertoimien avulla</t>
  </si>
  <si>
    <t>Scope 1 Polttoaineiden kulutuksen fossiiliset hiilidioksisipäästöt 
(HUOM! Päästöissä ei mukana muita polttoaineiden kulutuksesta aiheutuvia kasvihuonekaasupäästöjä ks. Tarkemmat tiedot laskurin käyttö- ja taustaohje)</t>
  </si>
  <si>
    <t>Päästöt, kgCO₂</t>
  </si>
  <si>
    <t>Osuus Scope 1&amp;2 päästöistä</t>
  </si>
  <si>
    <t xml:space="preserve">Kevyt polttoöljy </t>
  </si>
  <si>
    <t>Dieselöljy</t>
  </si>
  <si>
    <t>Bensiini</t>
  </si>
  <si>
    <t>Uusiutuva diesel</t>
  </si>
  <si>
    <t>Nesteytetty maakaasu (LNG)</t>
  </si>
  <si>
    <t>Nestekaasu (propaani)</t>
  </si>
  <si>
    <t>Nestekaasu (LPG, propaanin ja butaanin seos)</t>
  </si>
  <si>
    <t>Puupohjainen polttoaine, esim. hake</t>
  </si>
  <si>
    <t>Yhteensä</t>
  </si>
  <si>
    <t>Scope 2 Ostetun sähkön ja lämmön sekä jäähdytyksen fossiiliset kasvihuonekaasupäästöt (CO2, N2O ja CH4)</t>
  </si>
  <si>
    <t xml:space="preserve">Päästöt, kgCO₂ekv </t>
  </si>
  <si>
    <t>Käytetty päästökerroin</t>
  </si>
  <si>
    <t>Sähkö</t>
  </si>
  <si>
    <t>Kaukolämpö</t>
  </si>
  <si>
    <t>Hiilijalanjälki yhteensä (scope 1 ja 2)</t>
  </si>
  <si>
    <t>kg CO₂ekv</t>
  </si>
  <si>
    <t>tonnia CO₂ekv</t>
  </si>
  <si>
    <t>Hiilijalanjälki (1&amp;2) vastaa…</t>
  </si>
  <si>
    <t>Bensiini- tai dieselautolla ajettuja kilometrejä</t>
  </si>
  <si>
    <t>km</t>
  </si>
  <si>
    <t>Keskimääräisen suomalaisen hiilijalanjälkeä</t>
  </si>
  <si>
    <t>hlö</t>
  </si>
  <si>
    <t>Keskimääräisen suomalaisen metsän vuodessa sitomaa hiiltä</t>
  </si>
  <si>
    <t>ha</t>
  </si>
  <si>
    <t>Suomalaisten hiilijalanjälki on keskimäärin 10300 kg (Lähde: Sitra, 2021) Metsän hiilensidonta ha kohti vaihtelee mm. metsän sijainnista, metsätyypistä ja kehitysvaiheesta riippuen. Hiilensidonta keskimäärin on n. 3500-4500 kg CO2ekv vuodessa. Esim. UEF:n Metsätalouden suunnittelun professori Timo Pukkala on arvioinut sidonnan olevan keskimäärin 3700 kg/ha, tätä arviota on käytetty em. laskurissa.</t>
  </si>
  <si>
    <t>Alla oleva kaaviokuva muodostuu välilehdelle C syötettyjen tietojen perusteella</t>
  </si>
  <si>
    <t xml:space="preserve">Päästökertoimet Scope 1 </t>
  </si>
  <si>
    <t>Polttoaineet</t>
  </si>
  <si>
    <t>CO2</t>
  </si>
  <si>
    <t>Lähde</t>
  </si>
  <si>
    <t>Päivitetty</t>
  </si>
  <si>
    <t xml:space="preserve">kevyt polttoöljy, vähärikkinen </t>
  </si>
  <si>
    <t>kg/l</t>
  </si>
  <si>
    <t>Tilastokeskus; polttoaineluokitus 2025</t>
  </si>
  <si>
    <t>2.10.2025</t>
  </si>
  <si>
    <t>dieselöljy</t>
  </si>
  <si>
    <t xml:space="preserve">Tilastokeskus; polttoaineluokitus 2025 </t>
  </si>
  <si>
    <t xml:space="preserve">moottoribensiini </t>
  </si>
  <si>
    <t>uusiutuva kevyt polttoöljy</t>
  </si>
  <si>
    <t>Neste MY, 2022</t>
  </si>
  <si>
    <t>uusiutuva diesel</t>
  </si>
  <si>
    <t>Tilastokeskus, 2021</t>
  </si>
  <si>
    <t>nestetytetty maakaasu (LNG)</t>
  </si>
  <si>
    <t>kg/kg</t>
  </si>
  <si>
    <t>nestekaasu (LPG)</t>
  </si>
  <si>
    <t>nestekaasu, propaani</t>
  </si>
  <si>
    <t>kg/m3</t>
  </si>
  <si>
    <t>Päästökertoimet Scope 2</t>
  </si>
  <si>
    <t>Sähköenergia</t>
  </si>
  <si>
    <t>CO2ekv</t>
  </si>
  <si>
    <t>Suomen sähköntuotannon keskimääräinen päästökerroin (3 viim. vuoden ka energiamenetelmällä)</t>
  </si>
  <si>
    <t>kg/MWh</t>
  </si>
  <si>
    <t>Tilastokeskus, Energia 2024</t>
  </si>
  <si>
    <t>Kaukolämpö, Suomen keskimääräinen päästökerroin (3 viim. vuoden ka energiamenetelmällä)</t>
  </si>
  <si>
    <t>Tampereen energian myymä kaukojäähdytys</t>
  </si>
  <si>
    <t>Tampereen Energia, OpenCO2.net  2025</t>
  </si>
  <si>
    <t>Epäsuorien päästöjen kulutustiedot</t>
  </si>
  <si>
    <t xml:space="preserve">Tälle sivulle syötetään tiedot, joiden avulla voidaan arvioida epäsuoria kasvihuonekaasupäästöjä eli scope 3 päästöjä. Scope 3 sisältää mm. materiaalien, tavaroiden ja </t>
  </si>
  <si>
    <t xml:space="preserve">palveluiden hankinnasta syntyneet päästöt. Scope 3:een kuuluu Greenhouse Gas - protokollassa 15 eri kategoriaa, mutta tähän laskuriin on sisällytetty vain ne kategoriat, joiden on arvioitu </t>
  </si>
  <si>
    <t>Rajaukseen vaikuttaa mm. se, mitä lähtötietoja tai päästökertoimia on saatavilla sekä mitkä ovat yrityksen oman toiminnan kannalta merkittäviä päästölähteitä.</t>
  </si>
  <si>
    <t/>
  </si>
  <si>
    <t xml:space="preserve">Täytä laskentataulukkoon kulutustiedot pyydetyssä muodossa niiden kategorioiden osalta, jotka on tarpeellista laskea. Laskentataulukon alapuolella löytyvät laskennassa </t>
  </si>
  <si>
    <t xml:space="preserve">käytetyt päästökertoimet sekä niiden lähteet. Seuraavalle välilehdelle rakentuu yhteenvetotaulukko ja kuvaaja tämän osion eli scope 3:n tuloksista. </t>
  </si>
  <si>
    <t xml:space="preserve">Mikäli tiedossa on tarkat, tuote- tai palvelukohtaiset päästökertoimet esimerkiski tavarantoimittajalta, käytä niitä taulukossa esimerkkikertoimien sijaan. </t>
  </si>
  <si>
    <t>Scope 3 Päästöt</t>
  </si>
  <si>
    <t>Kategoria</t>
  </si>
  <si>
    <t>Päästökerroin</t>
  </si>
  <si>
    <t>Hiilijalanjälki kgCO2ekv</t>
  </si>
  <si>
    <t>Mistä tieto on saatu? Onko tarkka tieto vai arvio?</t>
  </si>
  <si>
    <t>Huomioita</t>
  </si>
  <si>
    <t>Materiaalihankinnat</t>
  </si>
  <si>
    <t>Teräs, keskimääräinen päästökerroin (t)</t>
  </si>
  <si>
    <t>kgCO₂/t</t>
  </si>
  <si>
    <t>Sahatavara</t>
  </si>
  <si>
    <t>Höylätavara</t>
  </si>
  <si>
    <t>CLT</t>
  </si>
  <si>
    <t>LVL, pilari, palkki ja seinärakenteet</t>
  </si>
  <si>
    <t>GLT</t>
  </si>
  <si>
    <t>Vaneri, pinnoittamaton koivuvaneri</t>
  </si>
  <si>
    <t>Vaneri, pinnoitettu koivuvaneri</t>
  </si>
  <si>
    <t>Vaneri, pinnoittamaton havuvaneri</t>
  </si>
  <si>
    <t>Vaneri, pinnoitettu havuvaneri</t>
  </si>
  <si>
    <t>Lastulevy</t>
  </si>
  <si>
    <t>Melamiinilastulevy</t>
  </si>
  <si>
    <t>Mdf, kuitulevy</t>
  </si>
  <si>
    <t>Mdf, kuitulevy melamiinipinnoitettu</t>
  </si>
  <si>
    <t>Tukkipuu</t>
  </si>
  <si>
    <t>kgCO₂/m3</t>
  </si>
  <si>
    <t>Arvio, ei epd:tä koska ei lopputuote</t>
  </si>
  <si>
    <t>A1 vaihe, ilman kuljetusta ja kuivausta</t>
  </si>
  <si>
    <t>Alumiini (t)</t>
  </si>
  <si>
    <t>Puuhankinnat yhteensä (puu- ja levymateriaalit):</t>
  </si>
  <si>
    <t>Lakat</t>
  </si>
  <si>
    <t>kgCO₂/kg</t>
  </si>
  <si>
    <t>Maalit</t>
  </si>
  <si>
    <t>Ohenteet</t>
  </si>
  <si>
    <t>kg/Mm3 CO2ekv</t>
  </si>
  <si>
    <t>Liimat</t>
  </si>
  <si>
    <t>Melamiinipinnoitteet</t>
  </si>
  <si>
    <t>Laminaatti</t>
  </si>
  <si>
    <t>Reunanauhat</t>
  </si>
  <si>
    <t>Metallihelat</t>
  </si>
  <si>
    <t>Muovihelat</t>
  </si>
  <si>
    <t>Lasi</t>
  </si>
  <si>
    <t>Vesi (m3)</t>
  </si>
  <si>
    <t>Muut materiaalihankinnat yhteensä (sis. teräs ja alumiini):</t>
  </si>
  <si>
    <t>Rahti, kuljetukset (ilmoita joko tkm tai euroina)</t>
  </si>
  <si>
    <t>Hankitut rahdit, maantiekuljetukset, tonnikilometreinä (tkm)</t>
  </si>
  <si>
    <t>kgCO₂/tkm</t>
  </si>
  <si>
    <t>Hankitut rahdit, oman rahtitoimittajan päästökerroin</t>
  </si>
  <si>
    <t>kgCO₂/€</t>
  </si>
  <si>
    <t>Lentorahti, lyhyet ulkomaan lentorahdit (tkm)</t>
  </si>
  <si>
    <t>Lentorahti, pitkät ulkomaan lentorahdit (tkm)</t>
  </si>
  <si>
    <t>Rahti yhteensä:</t>
  </si>
  <si>
    <t>Jätteet (HUOM. Ilmoita määrät tonneina, ei kiloina)</t>
  </si>
  <si>
    <t>Metallijäte</t>
  </si>
  <si>
    <t>Pahvi, kartonki</t>
  </si>
  <si>
    <t>Toimisto- ja keräyspaperi, ml. Tietosuojapaperit</t>
  </si>
  <si>
    <t>Muovi, materiaalikierrätykseen</t>
  </si>
  <si>
    <t>Sekajäte, yhdyskuntajäte</t>
  </si>
  <si>
    <t>Puujäte</t>
  </si>
  <si>
    <t>Biojäte</t>
  </si>
  <si>
    <t>Vaarallinen jäte (Merkitse tähän kaikki vaaraominaisuuksia sisältävien jätteiden yhteenlaskettu määrä)</t>
  </si>
  <si>
    <t>Muu jäte</t>
  </si>
  <si>
    <t>Palveluntarjoajalta saatu koko yrityksen jätehuollon hiilijalanjälki 
(HUOM. Yksikkönä kgCO2ekv)</t>
  </si>
  <si>
    <t>Jätteet yhteensä:</t>
  </si>
  <si>
    <t>Työhön liittyvä matkustaminen</t>
  </si>
  <si>
    <t>Henkilöstölle korvatut omalla autolla tehdyt matkat eli maksetut kilometrikorvaukset</t>
  </si>
  <si>
    <t>kgCO₂/km</t>
  </si>
  <si>
    <t>Lentoliikenne, lyhyet lennot alle 463 km (hkm, henkilökilometriä)</t>
  </si>
  <si>
    <t>kgCO₂/hkm</t>
  </si>
  <si>
    <t>Lentoliikenne, keskipitkät lennot 463-3700 km (hkm)</t>
  </si>
  <si>
    <t>Lentoliikenne, pitkät lennot yli 3700 km (hkm)</t>
  </si>
  <si>
    <t>Työhön liittyvä matkustaminen yhteensä:</t>
  </si>
  <si>
    <t>Henkilökunnan työmatkat (kodin ja työpaikan välillä)</t>
  </si>
  <si>
    <t>Työntekijät, jotka kulkevat työmatkan autolla (bensa tai diesel) (hlö)</t>
  </si>
  <si>
    <t>Keskimääräinen työmatkan pituus (yksisuuntainen)</t>
  </si>
  <si>
    <t>Lähityöpäivien määrä vuodessa</t>
  </si>
  <si>
    <t>Työmatkat yhteensä</t>
  </si>
  <si>
    <t>Sähköntuotannon epäsuorat päästöt</t>
  </si>
  <si>
    <t>Oma aurinkoenergiantuotanto</t>
  </si>
  <si>
    <t>kgCO₂/MWh</t>
  </si>
  <si>
    <t>Ostosähkön tuotannosta aiheutuvat epäsuorat päästöt</t>
  </si>
  <si>
    <t>Sähköntuotannon epäsuorat päästöt yhteensä</t>
  </si>
  <si>
    <t>Polttoaineiden valmistuksen epäsuorat päästöt (*</t>
  </si>
  <si>
    <t>l/a</t>
  </si>
  <si>
    <t>kgCO₂/l</t>
  </si>
  <si>
    <t>Uusiutuva kevyt polttoöljy</t>
  </si>
  <si>
    <t>Polttoaineiden valmistuksen epäsuorat päästöt yhteensä</t>
  </si>
  <si>
    <t>SCOPE 3 Päästöt yhteensä</t>
  </si>
  <si>
    <t>kgCO₂</t>
  </si>
  <si>
    <t>*) Puupohjaisten polttoaineiden scope 3 päästöt puuttuvat taulukosta, koska niille ei ole saatu riittävän luotettavaa ja vertailukelpoista päästökerrointa.</t>
  </si>
  <si>
    <t xml:space="preserve">Päästökertoimet Scope 3 </t>
  </si>
  <si>
    <t>Kevyt polttoöljy, vähärikkinen</t>
  </si>
  <si>
    <t xml:space="preserve">Vaski TP 7 (S3-023 SFS-EN 16258 (2014)) </t>
  </si>
  <si>
    <t>SFS-EN 14083 (2023) uusin voimassa oleva standardi</t>
  </si>
  <si>
    <t xml:space="preserve">Dieselöljy </t>
  </si>
  <si>
    <t>Vaski TP 7</t>
  </si>
  <si>
    <t xml:space="preserve">Bensiini </t>
  </si>
  <si>
    <t>Uusiutuva kevyt polttoöljy (HVO)</t>
  </si>
  <si>
    <t>Neste 2022</t>
  </si>
  <si>
    <t xml:space="preserve">Nesteytetty maakaasu (LNG) </t>
  </si>
  <si>
    <t>Nestekaasu, propaani</t>
  </si>
  <si>
    <t>Energiantuotannon epäsuorat päästöt</t>
  </si>
  <si>
    <t xml:space="preserve">Ostosähkön tuotannosta aiheutuvat epäsuorat päästöt (Suomi, keskimäärin) </t>
  </si>
  <si>
    <t>Fingrid, tilastovuosi 2024</t>
  </si>
  <si>
    <t xml:space="preserve">Oma aurinkoenergiantuotanto </t>
  </si>
  <si>
    <t xml:space="preserve">Arvio,  tarkempi arvo toimittajalta </t>
  </si>
  <si>
    <t>IPCC 2014 aiempi lähde</t>
  </si>
  <si>
    <t>Materiaalit</t>
  </si>
  <si>
    <t>Keskimääräinen arvo, teräs</t>
  </si>
  <si>
    <t>kgCO₂eq/t</t>
  </si>
  <si>
    <t>Keskimääräinen arvo, Ruukki 2021</t>
  </si>
  <si>
    <t>co2data.fi</t>
  </si>
  <si>
    <t>Talonrakentamisen päästötietokanta</t>
  </si>
  <si>
    <t>Kerroin puuttuu — pyydä toimittajalta EPD-pohjainen A1–A3-kerroin.</t>
  </si>
  <si>
    <t>Alumiini Al</t>
  </si>
  <si>
    <t>LCA of Metals (P.Nuss &amp; M.J. Eckelman) 2014</t>
  </si>
  <si>
    <t>Jauhemaali, keskimääräinen päästökerroin (kg)</t>
  </si>
  <si>
    <t>Taustalla Teknoksen toimittamat EPD-dokumentit jauhemaaleista 2021</t>
  </si>
  <si>
    <t>HUOM: jauhemaalin kerroin. Puusepänteollisuuden lakoille, maaleille ja liimoille pyydä toimittajan oma kerroin.</t>
  </si>
  <si>
    <t>Hitsauslanka (kg)</t>
  </si>
  <si>
    <t>Teräslanka, CO2data.fi</t>
  </si>
  <si>
    <t>Hitsauslanka, Bohler 309LSi ja 316LSi (kg)</t>
  </si>
  <si>
    <t>Bohler</t>
  </si>
  <si>
    <t>Hitsauksen suojakaasu (Mison 2He)</t>
  </si>
  <si>
    <t>Linde, 2023</t>
  </si>
  <si>
    <t>Hitsauksen suojakaasu (Mison 2)</t>
  </si>
  <si>
    <t>Liikenne ja logistiikka</t>
  </si>
  <si>
    <t xml:space="preserve">Lähde </t>
  </si>
  <si>
    <t>Lentorahti, lyhyet ulkomaan lentorahdit (&lt;2000 km) kuormituskerroin 3,16</t>
  </si>
  <si>
    <t>kg/tkm</t>
  </si>
  <si>
    <t>ICAO Carbon Emissions Calculator Methodology Air Freighter V1 September 2023</t>
  </si>
  <si>
    <t>Lentorahti, pitkät ulkomaan lentorahdit</t>
  </si>
  <si>
    <t>Jakelukuorma-auto (6/3.5 t) 80% maantieajo</t>
  </si>
  <si>
    <t xml:space="preserve">kg/tkm </t>
  </si>
  <si>
    <t>Infrarakentamisen päästötietokanta CO2Data.fi (2/2024)</t>
  </si>
  <si>
    <t>Jakelukuorma-auto (15/9 t) 80% maantieajo</t>
  </si>
  <si>
    <t>Puoliperävaunuyhdistelmät (40/25 t) 80% maantieajo</t>
  </si>
  <si>
    <t>Perävaunullinen yhdistelmä (60/40 t) 80% maantieajo</t>
  </si>
  <si>
    <t>Liikennekäytössä olevien henkilöautojen keskimääräinen CO2-päästö vuoden 2022 lopussa (vaihtoehtoiset käyttövoimat huomioitu)</t>
  </si>
  <si>
    <t>kg/km</t>
  </si>
  <si>
    <t>Traficom, 2023</t>
  </si>
  <si>
    <t>Lennot</t>
  </si>
  <si>
    <t>Kotimaa, lyhyet  &lt; 400 km</t>
  </si>
  <si>
    <t>Finnair, Päästöhyvityslaskuri 2022</t>
  </si>
  <si>
    <t>Laskelmat perustuvat Finnairin reittilentojen todelliseen polttoaineenkulutukseen. Polttoaineenkulutus on 12 kuukauden keskiarvo, joka on jaettu matkustajien ja rahdin kesken ICAO:n jakomenetelmien mukaisesti. Laskelman tuloksena on hiilidioksidipäästöt, joissa vain suorat päästöt on huomioitu.</t>
  </si>
  <si>
    <t xml:space="preserve">Kotimaa, pitkät 400 &lt; 1000 km </t>
  </si>
  <si>
    <t>Eurooppaan, n. 2000 km</t>
  </si>
  <si>
    <t>Pitkät lennot, &gt;  5000  km</t>
  </si>
  <si>
    <t xml:space="preserve">Vesi </t>
  </si>
  <si>
    <t>Jätteet</t>
  </si>
  <si>
    <t>Sekajäte</t>
  </si>
  <si>
    <t>HSY (Helsingin seudun ympäristöpalvelut) 2019</t>
  </si>
  <si>
    <t>Metalliromu</t>
  </si>
  <si>
    <t>Biojäte, kaasutettava</t>
  </si>
  <si>
    <t>Biojäte, kompostoitava</t>
  </si>
  <si>
    <t>Vaarallinen jäte</t>
  </si>
  <si>
    <t>Pahvi/kartonki</t>
  </si>
  <si>
    <t>Toimistopaperi</t>
  </si>
  <si>
    <t>Yhteenveto hiilijalanjälki scope 3</t>
  </si>
  <si>
    <t xml:space="preserve"> </t>
  </si>
  <si>
    <t>Tällä sivulla voit tarkastella yrityksen epäsuorien päästöjen (Scope 3) jakautumista ja kokonaismääriä. Tälle sivulle tietoja ei syötetä itse, vaan ne lasketaan</t>
  </si>
  <si>
    <t xml:space="preserve">automaattisesti edelliselle välilehdelle syötettyjen kulutustietojen ja päästökertoimien perusteella. Puutuotealan yrityksillä valtaosa scope 3 -päästöistä syntyy yleensä</t>
  </si>
  <si>
    <t xml:space="preserve">materiaalihankinnoista (puu- ja levymateriaalit, liimat ja pintakäsittelyaineet) sekä kuljetuksista.</t>
  </si>
  <si>
    <t/>
  </si>
  <si>
    <t>Scope 3</t>
  </si>
  <si>
    <t>% päästöistä</t>
  </si>
  <si>
    <t>Puuhankinnat</t>
  </si>
  <si>
    <t>Muut materiaalihankinnat</t>
  </si>
  <si>
    <t>Rahti</t>
  </si>
  <si>
    <t>Henkilökunnan työmatkat</t>
  </si>
  <si>
    <t>Polttoaineiden valmistuksen epäsuorat päästöt</t>
  </si>
  <si>
    <t>Scope 3 päästöt yhteensä (kg)</t>
  </si>
  <si>
    <t>Scope 3 päästöt yhteensä (tCO2ekv)</t>
  </si>
  <si>
    <t>Alla oleva kaaviokuva muodostuu välilehdelle E syötettyjen tietojen perusteella</t>
  </si>
  <si>
    <t xml:space="preserve">Päästövähennykset </t>
  </si>
  <si>
    <t>Tällä sivulla voit tarkastella yrityksen hiilijalanjälkeä pienentävien toimien vaikutuksia.</t>
  </si>
  <si>
    <t xml:space="preserve">Esimerkkinä päästövähennyskeinoista ovat oma aurinkosähkön tuotanto, kun sillä korvataan osittain fossiilisilla tuotettua ostosähköä</t>
  </si>
  <si>
    <t xml:space="preserve">sekä työntekijöiden kannustaminen kulkemaan työmatkoja polkupyörällä auton sijasta. Täytä keltaisiin soluihin pyydetyt tiedot. </t>
  </si>
  <si>
    <t/>
  </si>
  <si>
    <t xml:space="preserve">Jos yrityksellä on omaa aurinkosähköntuotantoa, tässä voitte tarkastella sen tuomia scope 2 päästövähennyksiä vuositasolla. </t>
  </si>
  <si>
    <t xml:space="preserve">Aurinkosähkön tuotannosta aiheutuu kuitenkin epäsuoria kasvihuonekaasupäästöjä mm. aurinkopaneelien valmistuksesta. </t>
  </si>
  <si>
    <t>Nämä päästöt lasketaan automaattisesti scope 3 khk-päästöihin ao. taulukkoon syötetyn tuotantotiedon perusteella.</t>
  </si>
  <si>
    <t>Sähköntuotanto</t>
  </si>
  <si>
    <t>Tuotanto MWh/a</t>
  </si>
  <si>
    <t>Säästetty ostoenergiamäärä MWh/a</t>
  </si>
  <si>
    <t>Scope 2 päästövähennys kgCO₂ekv/a</t>
  </si>
  <si>
    <t xml:space="preserve">Mistä tieto on saatu? </t>
  </si>
  <si>
    <t>Oman järjestelmän aurinkosähkötuotanto</t>
  </si>
  <si>
    <t>Lämmöntuotanto</t>
  </si>
  <si>
    <t>Sivuvirtojen hyödyntäminen</t>
  </si>
  <si>
    <t xml:space="preserve">Jos yritys tukee henkilöstön työmatkapyöräilyä, tässä voitte tarkastella sen tuomia scope 3 päästövähennyksiä vuositasolla. </t>
  </si>
  <si>
    <t>Päästövähennys on laskettu olettaen, että pyöräily korvaa työmatkan ajamisen bensiini- tai dieselkäyttöisellä autolla (1hlö/auto)</t>
  </si>
  <si>
    <t>Pyöräillyt työmatkat (km)</t>
  </si>
  <si>
    <t>km/a</t>
  </si>
  <si>
    <t>Pyöräilyllä korvatut ajokilometrit</t>
  </si>
  <si>
    <t>Scope 3 päästövähennys kgCO₂ekv</t>
  </si>
  <si>
    <t>Mistä tieto on saatu?</t>
  </si>
  <si>
    <t>Henkilöstön polkupyörällä ajetut työmatkat (km)</t>
  </si>
  <si>
    <t>Materiaalien hukkaosuus (puu, levyt ja metallit)</t>
  </si>
  <si>
    <t xml:space="preserve">Metallien hukkaosuus lasketaan riveillä 8-40. Se on tarpeen vain, jos yrityksessä on omaa metallinjalostusta esimerkiksi helojen tai runkorakenteiden osalta. Puun ja levymateriaalien hukka lasketaan riviltä 43 alkaen.</t>
  </si>
  <si>
    <t/>
  </si>
  <si>
    <t xml:space="preserve">Musta teräs </t>
  </si>
  <si>
    <t>t/a</t>
  </si>
  <si>
    <t>Hankintamäärä t/a</t>
  </si>
  <si>
    <t>Varastomuutos (jos varastolisäystä + jos vähennystä -) t/a</t>
  </si>
  <si>
    <t>Käytetty musta teräs yhteensä (t/a)</t>
  </si>
  <si>
    <t>Romumetalliksi, keräykseen päätynyt musta teräs yhteensä (t/a)</t>
  </si>
  <si>
    <t>Materiaalihukka, musta teräs (%)</t>
  </si>
  <si>
    <t xml:space="preserve">Kirkas teräs </t>
  </si>
  <si>
    <t>Käytetty kirkas teräs yhteensä (t/a)</t>
  </si>
  <si>
    <t>Romumetalliksi, keräykseen päätynyt kirkas teräs yhteensä (t/a)</t>
  </si>
  <si>
    <t>Materiaalihukka, kirkas teräs (%)</t>
  </si>
  <si>
    <t>Muut metallit</t>
  </si>
  <si>
    <t>Käytetty muu metalli yhteensä (t/a)</t>
  </si>
  <si>
    <t>Romumetalliksi, keräykseen päätynyt muu metalli yhteensä (t/a)</t>
  </si>
  <si>
    <t>Materiaalihukka, muut metallit (%)</t>
  </si>
  <si>
    <t>Mikäli käytettävissäsi ei ole tietoa eri teräslaatujen metallikeräykseen päätyvistä määristä, voit laskea yhden yhteisen hukkaosuuden alla olevan taulukon avuilla.</t>
  </si>
  <si>
    <t>Metallihankinnat (kaikki metallit yhteensä)</t>
  </si>
  <si>
    <t>Kirkas teräs</t>
  </si>
  <si>
    <t xml:space="preserve">Muut metallit </t>
  </si>
  <si>
    <t>Metallihankinnat yhteensä (t/a)</t>
  </si>
  <si>
    <t>Käytetty metalli yhteensä (t/a)</t>
  </si>
  <si>
    <t>Romumetalliksi, keräykseen päätynyt metalli yhteensä (t/a)</t>
  </si>
  <si>
    <t>Materiaalihukka, kaikki metallit (%)</t>
  </si>
  <si>
    <t>t/a tai m3/a</t>
  </si>
  <si>
    <t>Käytä samaa yksikköä kaikilla riveillä (tonnia tai kuutiota). Ilmoita massiivipuu, sahatavara, höylätavara ja viilu tässä; levymateriaalit alempana.</t>
  </si>
  <si>
    <t>Puuraaka-aineen hankintamäärä</t>
  </si>
  <si>
    <t>Varastomuutos (jos varastolisäystä + jos vähennystä −)</t>
  </si>
  <si>
    <t>Käytetty puuraaka-aine yhteensä</t>
  </si>
  <si>
    <t>Hukkana poistunut puuaines yhteensä (sahanpuru, kutterinlastu, hukkapalat, hylyt)</t>
  </si>
  <si>
    <t>josta hyödynnetty omassa energiantuotannossa (taustatieto, ei vaikuta hukkaprosenttiin)</t>
  </si>
  <si>
    <t>Materiaalihukka, puu (%)</t>
  </si>
  <si>
    <t>Materiaalihyötysuhde, puu (%)</t>
  </si>
  <si>
    <t>Levymateriaalien hukkaosuus (lastulevy, MDF, vaneri, viilupintaiset levyt)</t>
  </si>
  <si>
    <t>m2/a tai t/a</t>
  </si>
  <si>
    <t>Levymateriaalien hankintamäärä</t>
  </si>
  <si>
    <t>Käytetty levymateriaali yhteensä</t>
  </si>
  <si>
    <t>Hukkapaloina tai jätteenä poistunut levymateriaali</t>
  </si>
  <si>
    <t>Materiaalihukka, levyt (%)</t>
  </si>
  <si>
    <t>Materiaalihyötysuhde, levyt (%)</t>
  </si>
  <si>
    <t/>
  </si>
  <si>
    <t xml:space="preserve">VOC-päästöt (liuottimien käyttömäärät) </t>
  </si>
  <si>
    <t>Usein tiedon VOC-päästöistä voi saada suoraan tavarantoimittajalta. Mutta mikäli tieto ei ole saatavissa, voit laskea päästöt itse ao. taulukon avulla.</t>
  </si>
  <si>
    <t xml:space="preserve">Täytä keltaisiin laatikoihin pyydetyt tiedot. Aineiden tuoteselosteista löytyy sekä VOC-pitoisuudet että kiintoainepitoisuus. </t>
  </si>
  <si>
    <t>VOC-päästöjen laskenta</t>
  </si>
  <si>
    <t xml:space="preserve">VOC-pitoisuus on ilmoitettu aineiden tuoteselosteessa. </t>
  </si>
  <si>
    <t xml:space="preserve">Kiintoainepitoisuus on ilmoitettu maalin tuoteselosteessa. </t>
  </si>
  <si>
    <t>Käytettyjen liuottimien kokonaismäärät vuositasolla</t>
  </si>
  <si>
    <t>VOC-pitoisuus g/l</t>
  </si>
  <si>
    <t>Kiintoainepitoisuus g/l</t>
  </si>
  <si>
    <t>Kiintoainemäärä kg/a (KA)</t>
  </si>
  <si>
    <t>VOC-päästöt kg/a</t>
  </si>
  <si>
    <t>Pintamaalia</t>
  </si>
  <si>
    <t>Pohjamaalia</t>
  </si>
  <si>
    <t>Ohenteita</t>
  </si>
  <si>
    <t>Liuotinpesuaineita esim. ruiskun pesuun</t>
  </si>
  <si>
    <t>Korjattu v1.2: summa laski aiemmin vain rivit 10–13, vaikka syöttörivejä on 10–20.</t>
  </si>
  <si>
    <t>Jätteiden lajitteluaste</t>
  </si>
  <si>
    <t xml:space="preserve">Jätehuollon palveluntarjoajalta on usein saatavissa mittaritietoa lajittelusta, esim. lajittelu-, kierrätys- ja/tai hyötykäyttöaste. </t>
  </si>
  <si>
    <t>Mikäli em. tietoja ei ole saatavissa, alla olevan taulukon avulla voit laskea yrityksesi lajitteluasteen.</t>
  </si>
  <si>
    <t xml:space="preserve">Mikäli jätemäärätietoja ei ole saatavissa painomittoina vaan tiedossa on vain jäteastioiden koot ja tyhjennyskerrat, voit laskea </t>
  </si>
  <si>
    <t>jätemäärät seuraavalla välilehdellä (K) olevan laskentataulukon avulla.</t>
  </si>
  <si>
    <t>Lajitellut hyötyjätteet jakeittain</t>
  </si>
  <si>
    <t>Jätehuollosta vastaava palveluntarjoaja</t>
  </si>
  <si>
    <t>Romumetalli, kirkas teräs</t>
  </si>
  <si>
    <t>Romumetalli, musta teräs</t>
  </si>
  <si>
    <t>Romumetalli, alumiini</t>
  </si>
  <si>
    <t>Pahvijäte</t>
  </si>
  <si>
    <t>Toimisto- ja keräyspaperi</t>
  </si>
  <si>
    <t>Tietosuojapaperi</t>
  </si>
  <si>
    <t>Muut lajitellut jätejakeet</t>
  </si>
  <si>
    <t>Lajiteltu hyötyjäte yhteensä</t>
  </si>
  <si>
    <t>Vaaralliset jätteet</t>
  </si>
  <si>
    <t>Aerosolit</t>
  </si>
  <si>
    <t>Maalit, lakat, liimat, liuottimet</t>
  </si>
  <si>
    <t>Hapot, emäkset ja vanhentuneet kemikaalit</t>
  </si>
  <si>
    <t>Jäteöljyt</t>
  </si>
  <si>
    <t>Kiinteät öljyiset jätteet</t>
  </si>
  <si>
    <t xml:space="preserve">Öljyn- ja hiekanerotuskaivojen liete </t>
  </si>
  <si>
    <t>SER</t>
  </si>
  <si>
    <t>Muut vaaralliset jätteet</t>
  </si>
  <si>
    <t>Vaaralliset jätteet yhteensä</t>
  </si>
  <si>
    <t>Muut jätejakeet</t>
  </si>
  <si>
    <t>Lajittelematon teollisuusjäte</t>
  </si>
  <si>
    <t>Lajittelematon jäte yhteensä</t>
  </si>
  <si>
    <t>Jätemäärä yhteensä</t>
  </si>
  <si>
    <t>Lajitteluaste %</t>
  </si>
  <si>
    <t>Puutuotealalla puujäte on usein merkittävin yksittäinen jae. Kirjaa rivillä 20 vain se puuaines, joka poistuu yrityksestä jätteenä — omassa lämpölaitoksessa poltettu puru ja lastu ovat energiaa, eivät jätettä (kirjaa ne välilehdelle H rivi 49).</t>
  </si>
  <si>
    <t>Jätemäärien muuntotaulukko</t>
  </si>
  <si>
    <t>Mikäli yrityksen jätemääristä ei ole saatavilla määrätietoja painomittoina (kg/t), mutta tiedossa on keräysastioiden tyhjennyskerrat, alla olevan laskurin</t>
  </si>
  <si>
    <t>avulla voidaan muuntaa tilavuudet painoksi. Lisää tyhjennyskerrat sarakkeeseen kyseisen astiakoon tyhjennysmäärät yhteensä vuoden aikana.</t>
  </si>
  <si>
    <t>Esim. jos yrityksellä on kolme 140 l keräysastiaa toimistopaperille ja ne kaikki tyhjennetään vuodessa 12 kertaa on tyhjennyskertoja vuodessa 3 x 12 = 36</t>
  </si>
  <si>
    <t xml:space="preserve">Jätejakeiden tilavuuspainokertoimet, lähde: YLVA Jäteraportoinnin kehittämisryhmä, 2020. </t>
  </si>
  <si>
    <t>Tilavuuspainokertoimet perustuvat keskimääräisiin täyttöasteisiin.</t>
  </si>
  <si>
    <t>Jätejae</t>
  </si>
  <si>
    <t>Jäteastian koko</t>
  </si>
  <si>
    <t>Tyhjennyskertoja/a</t>
  </si>
  <si>
    <t>Painokerroin (t)</t>
  </si>
  <si>
    <t>Yhteensä (t)</t>
  </si>
  <si>
    <t>200-290 litraa</t>
  </si>
  <si>
    <t>600-690 litraa</t>
  </si>
  <si>
    <t>2m3 etu- tai pikakontti</t>
  </si>
  <si>
    <t>4m3 etu- tai pikakontti</t>
  </si>
  <si>
    <t>6m3 etu- tai pikakontti</t>
  </si>
  <si>
    <t>8m3 etu- tai pikakontti</t>
  </si>
  <si>
    <t>Lavakuormat teollisuudesta (m3)</t>
  </si>
  <si>
    <t>Sekajäte yhteensä</t>
  </si>
  <si>
    <t>Valkoinen  toimistopaperi</t>
  </si>
  <si>
    <t>140 litraa</t>
  </si>
  <si>
    <t>240 litraa</t>
  </si>
  <si>
    <t>660 litraa</t>
  </si>
  <si>
    <t>Paperi, lehdet ja mainokset</t>
  </si>
  <si>
    <t xml:space="preserve">120 litraa </t>
  </si>
  <si>
    <t>370 litraa</t>
  </si>
  <si>
    <t>Paperi yhteensä</t>
  </si>
  <si>
    <t>Pahvi</t>
  </si>
  <si>
    <t>Rullakko (täysi)</t>
  </si>
  <si>
    <t>Puristettu pahvi m3</t>
  </si>
  <si>
    <t>Pahvi yhteensä</t>
  </si>
  <si>
    <t>Biojäte yhteensä</t>
  </si>
  <si>
    <t>Puu, pakkausjäte</t>
  </si>
  <si>
    <t>Kuormalava, kpl</t>
  </si>
  <si>
    <t>Puu yhteensä</t>
  </si>
  <si>
    <t>Rauta- ja teräsromu</t>
  </si>
  <si>
    <t xml:space="preserve">Lasi </t>
  </si>
  <si>
    <t>Muovipakkausjäte, puristettu</t>
  </si>
  <si>
    <t>Muovipakkausjäte, puristamaton</t>
  </si>
  <si>
    <t>Muovi yhteensä</t>
  </si>
  <si>
    <t>Biogeeninen hiili ja puutuotteiden hiilivarasto</t>
  </si>
  <si>
    <t>Puutuoteala eroaa muusta valmistavasta teollisuudesta siinä, että sen tuotteisiin sitoutuu ilmakehästä peräisin olevaa hiiltä. Tämä on alan</t>
  </si>
  <si>
    <t>tärkein ympäristöargumentti — ja samalla se kohta, jossa laskentaa kritisoidaan eniten. Siksi hiilivarasto lasketaan tässä erikseen, avoimella kaavalla.</t>
  </si>
  <si>
    <t>PERUSSÄÄNTÖ: hiilivarastoa EI vähennetä scope 1–3 päästöistä eikä ilmoiteta "negatiivisena hiilijalanjälkenä".</t>
  </si>
  <si>
    <t>Se on erillinen, rinnalla raportoitava luku. Näin toimivat sekä GHG-protokolla (organisaatiotaso) että EN 15804+A2 (EPD, GWP-biogenic raportoidaan omana lukunaan).</t>
  </si>
  <si>
    <t>1. Tuotteisiin sitoutunut hiili (hiilivarasto)</t>
  </si>
  <si>
    <t>Arvo</t>
  </si>
  <si>
    <t>Ohje ja lähde</t>
  </si>
  <si>
    <t>Valmiisiin tuotteisiin päätyneen puuaineksen määrä (toimituskosteudessa)</t>
  </si>
  <si>
    <t>Sama luku kuin välilehden H rivi 47 miinus rivi 48, jos hukka on tiedossa. Sisältää massiivipuun, viilun ja puupohjaiset levyt.</t>
  </si>
  <si>
    <t>Puuaineksen keskimääräinen kosteus toimitushetkellä</t>
  </si>
  <si>
    <t>Sisäkäyttöön menevä puu tyypillisesti 8–12 %, ulkokäyttöön 16–18 %. Oletusarvo 12 %, muuta oman tuotannon mukaiseksi.</t>
  </si>
  <si>
    <t>Hiilipitoisuus kuiva-aineessa</t>
  </si>
  <si>
    <t>osuus</t>
  </si>
  <si>
    <t>Vakiintunut oletus 0,50 kg C / kg kuiva-ainetta (EN 16449, IPCC 2006 Vol.4).</t>
  </si>
  <si>
    <t>CO2:n ja hiilen moolimassasuhde</t>
  </si>
  <si>
    <t>-</t>
  </si>
  <si>
    <t>Vakio 3,667.</t>
  </si>
  <si>
    <t>Kuiva-ainemäärä</t>
  </si>
  <si>
    <t>Kaava: toimituskosteudessa oleva massa / (1 + kosteus-% / 100)</t>
  </si>
  <si>
    <t>Tuotteisiin sitoutunut hiili</t>
  </si>
  <si>
    <t>t C</t>
  </si>
  <si>
    <t>HIILIVARASTO (tuotteisiin sitoutunut hiilidioksidi)</t>
  </si>
  <si>
    <t>Laskettu standardin EN 16449 mukaisella menettelyllä.</t>
  </si>
  <si>
    <t>Yhteenvetoon siirrettävä luku</t>
  </si>
  <si>
    <t>Vertailu: yrityksen hiilijalanjälki scope 1&amp;2</t>
  </si>
  <si>
    <t>tCO2e</t>
  </si>
  <si>
    <t>Nämä rivit ovat vertailua varten. Älä laske niitä yhteen hiilivaraston kanssa.</t>
  </si>
  <si>
    <t>Vertailu: yrityksen hiilijalanjälki scope 3</t>
  </si>
  <si>
    <t>2. Puupolttoaineen biogeeniset CO2-päästöt (raportoidaan päästöluokkien ulkopuolella)</t>
  </si>
  <si>
    <t>Puupohjaisen polttoaineen energiasisältö (haetaan välilehdeltä C)</t>
  </si>
  <si>
    <t>Biogeenisen CO2:n päästökerroin</t>
  </si>
  <si>
    <t>kgCO2/MWh</t>
  </si>
  <si>
    <t>Puun poltto n. 112 kgCO2/GJ = n. 403 kgCO2/MWh (Tilastokeskus, polttoaineluokitus). Muuta, jos käytössä on tarkempi kerroin.</t>
  </si>
  <si>
    <t>Biogeeniset CO2-päästöt puupolttoaineesta</t>
  </si>
  <si>
    <t>GHG-protokollan mukaan tämä raportoidaan erillisenä lukuna, EI osana scope 1 -päästöjä. Laskurin scope 1 -taulukossa puupolttoaineelle on siksi kerroin 0,04 kg/m3 (vain fossiilinen osuus).</t>
  </si>
  <si>
    <t>Mitä tästä saa sanoa ulospäin</t>
  </si>
  <si>
    <t>SAA sanoa: "Tuotteisiimme sitoutui vuonna X yhteensä N tonnia hiilidioksidia. Toimintamme hiilijalanjälki oli samana vuonna M tonnia CO2e (scope 1–2)."</t>
  </si>
  <si>
    <t>EI SAA sanoa: "Olemme hiilinegatiivinen" tai "tuotteemme sitovat enemmän hiiltä kuin toimintamme päästää" ilman elinkaaritarkastelua ja varastoajan huomiointia.</t>
  </si>
  <si>
    <t>Perustelu: EmpCo-direktiivi (EU 2024/825) kieltää yleiset ympäristöväitteet ilman todennettua näyttöä 27.9.2026 alkaen. Hiilivarastoväite ilman elinkaaritietoa on juuri tällainen väite.</t>
  </si>
  <si>
    <t>Hiilivarasto ei ole pysyvä: se vapautuu tuotteen elinkaaren lopussa (EN 15804 moduulit C3–C4), ellei materiaalia kierrätetä.</t>
  </si>
  <si>
    <t>Mikä luku vastaa mihin kysymykseen</t>
  </si>
  <si>
    <t>Suurin osa hiilijalanjälkilukuihin kohdistuvasta epäluottamuksesta ei johdu laskennan virheistä vaan siitä, että eri tarkoitukseen laskettuja lukuja</t>
  </si>
  <si>
    <t>verrataan keskenään. Tämän laskurin tuottama luku vastaa yhteen kysymykseen. Alla on kerrottu mihin se vastaa — ja mihin se ei vastaa.</t>
  </si>
  <si>
    <t>Luku</t>
  </si>
  <si>
    <t>Mihin kysymykseen vastaa</t>
  </si>
  <si>
    <t>Standardi</t>
  </si>
  <si>
    <t>Rajaus</t>
  </si>
  <si>
    <t>Mihin EI kelpaa sellaisenaan</t>
  </si>
  <si>
    <t>Organisaatiotason hiilijalanjälki
(TÄMÄ LASKURI)</t>
  </si>
  <si>
    <t>Paljonko koko yrityksen toiminta aiheutti päästöjä yhtenä vuonna?</t>
  </si>
  <si>
    <t>GHG Protocol / ISO 14064-1</t>
  </si>
  <si>
    <t>Yritys, kalenterivuosi, scope 1–3</t>
  </si>
  <si>
    <t>Tuotekohtaiseksi luvuksi, EPD:hen, tai asiakkaan tuotekohtaiseen kyselyyn.</t>
  </si>
  <si>
    <t>Tuotteen hiilijalanjälki</t>
  </si>
  <si>
    <t>Paljonko yksi tuote aiheuttaa päästöjä elinkaarensa aikana?</t>
  </si>
  <si>
    <t>ISO 14067 / ISO 14040-44</t>
  </si>
  <si>
    <t>Yksi tuote, toiminnallinen yksikkö, valittu elinkaaren vaihe</t>
  </si>
  <si>
    <t>Yrityksen vuosipäästöjen raportointiin tai päästövähennystavoitteen seurantaan.</t>
  </si>
  <si>
    <t>EPD-ympäristöseloste</t>
  </si>
  <si>
    <t>Mikä on tuotteen todennettu ympäristöprofiili rakennushankkeen laskentaan?</t>
  </si>
  <si>
    <t>EN 15804+A2, todennettu kolmannella osapuolella</t>
  </si>
  <si>
    <t>Tuote, moduulit A1–A3 (usein myös A4–C4, D), 1 m3 / 1 m2 / 1 kg</t>
  </si>
  <si>
    <t>Yrityksen organisaatiotason päästölukemaksi. EPD:n A1–A3 ei ole sama kuin scope 3.</t>
  </si>
  <si>
    <t>Asiakkaan toimittajakysely</t>
  </si>
  <si>
    <t>Mikä on meille toimitettujen tuotteiden päästö?</t>
  </si>
  <si>
    <t>Vaihtelee — kysyjä määrittää</t>
  </si>
  <si>
    <t>Vaihtelee: usein tuotekohtainen, joskus toimittajakohtainen</t>
  </si>
  <si>
    <t>Lue kysymys tarkasti: kysytäänkö yrityksen vai tuotteen lukua. Tämä on yleisin sekaannuksen lähde.</t>
  </si>
  <si>
    <t>VSME / CSRD -raportointi</t>
  </si>
  <si>
    <t>Mitä kestävyystietoa yrityksen on raportoitava sidosryhmille?</t>
  </si>
  <si>
    <t>VSME-standardi (vapaaehtoinen, pk-yritykset) / ESRS</t>
  </si>
  <si>
    <t>Yritys, tilikausi</t>
  </si>
  <si>
    <t>Tuotekohtaiseksi luvuksi. VSME hyväksyy tämän laskurin kaltaisen scope 1–2 -luvun, kunhan menetelmä ja rajaus on dokumentoitu.</t>
  </si>
  <si>
    <t>EUDR-vaatimustenmukaisuus</t>
  </si>
  <si>
    <t>Onko puuraaka-aine metsäkatovapaata ja laillisesti tuotettua?</t>
  </si>
  <si>
    <t>Asetus (EU) 2023/1115</t>
  </si>
  <si>
    <t>Toimituserä, geolokaatio, alkuperämaa</t>
  </si>
  <si>
    <t>Ei liity hiilijalanjälkeen lainkaan. Eri asia, eri aineisto, eri velvoite — mutta kysytään usein samassa asiakaskyselyssä.</t>
  </si>
  <si>
    <t>Kolme sääntöä, jotka poistavat suurimman osan sekaannuksista</t>
  </si>
  <si>
    <t>1. Kirjoita aina lukusi viereen kolme asiaa: mikä standardi, mikä rajaus, miltä vuodelta. Ilman näitä luku ei ole vertailukelpoinen eikä todennettavissa.</t>
  </si>
  <si>
    <t>2. Älä koskaan vertaa oman yrityksen organisaatiolukua toisen yrityksen EPD-lukuun. Ne mittaavat eri asiaa.</t>
  </si>
  <si>
    <t>3. Jos luku muuttuu vuodesta toiseen, kerro muuttuiko toiminta vai menetelmä. Menetelmämuutos ilman mainintaa on se, mikä syö luottamuksen lukuihin nopeimmin.</t>
  </si>
  <si>
    <t>Laskennan dokumentointi (täytä tämä ja liitä lukusi mukaan)</t>
  </si>
  <si>
    <t>Käytetty menetelmä ja standardi</t>
  </si>
  <si>
    <t>GHG Protocol Corporate Standard</t>
  </si>
  <si>
    <t>Laskennan rajaus (mitkä toimipaikat, mitkä scope 3 -kategoriat)</t>
  </si>
  <si>
    <t>Scope 2 -menetelmä (sijaintiperusteinen / markkinaperusteinen)</t>
  </si>
  <si>
    <t>Merkittävimmät poisrajatut päästölähteet ja perustelu</t>
  </si>
  <si>
    <t>Käytettyjen päästökertoimien lähteet ja vuosi</t>
  </si>
  <si>
    <t>Onko luku kolmannen osapuolen todentama</t>
  </si>
  <si>
    <t>Laskennan tekijä ja päivämäärä</t>
  </si>
  <si>
    <t>Päivitetty versio 21.9.2026. Korjaukset ja puutuotealan lisäykset: Vixte Oy (Viivi Kettula), www.vixte.fi</t>
  </si>
  <si>
    <t>21.8.2025 Muokkaus puuteollisuuden tarpeisiin</t>
  </si>
  <si>
    <t>21.9.2026 PÄIVITETTY VERSIO (Vixte Oy). Korjatut virheet:</t>
  </si>
  <si>
    <t>Puutuotealan lisäykset päivitetyssä versiossa:</t>
  </si>
  <si>
    <t>Välilehti M lisätty päivitetyssä versiossa (21.9.2026, Vixte Oy).</t>
  </si>
  <si>
    <t>Materiaalihukka on puutuotealan keskeisin materiaalitehokkuuden mittari: hukkana poistuva puu ja levy on jo maksettua raaka-ainetta ja sen valmistuksen päästöt sisältyvät scope 3 -lukuun riippumatta siitä päätyykö materiaali tuotteeseen vai jätteeksi.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</si>
</sst>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0.0"/>
    <numFmt numFmtId="166" formatCode="0.000"/>
    <numFmt numFmtId="167" formatCode="0.00%"/>
    <numFmt numFmtId="168" formatCode="0%"/>
    <numFmt numFmtId="169" formatCode="0.0\ %"/>
    <numFmt numFmtId="170" formatCode="m/d/yyyy"/>
    <numFmt numFmtId="171" formatCode="0.0000"/>
  </numFmts>
  <fonts count="51" x14ac:knownFonts="1">
    <font>
      <sz val="11"/>
      <color theme="1"/>
      <name val="Arial"/>
      <family val="2"/>
      <charset val="1"/>
    </font>
    <font>
      <sz val="10"/>
      <name val="Arial"/>
      <family val="2"/>
    </font>
    <font>
      <u/>
      <sz val="11"/>
      <color theme="10"/>
      <name val="Arial"/>
      <family val="2"/>
      <charset val="1"/>
    </font>
    <font>
      <sz val="11"/>
      <color theme="1"/>
      <name val="Calibri"/>
      <family val="2"/>
      <charset val="1"/>
    </font>
    <font>
      <b/>
      <sz val="11"/>
      <color rgb="FFC00000"/>
      <name val="Calibri"/>
      <family val="2"/>
    </font>
    <font>
      <b/>
      <sz val="18"/>
      <name val="Calibri"/>
      <family val="2"/>
      <charset val="1"/>
    </font>
    <font>
      <i/>
      <sz val="11"/>
      <color rgb="FFFF000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sz val="18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</font>
    <font>
      <b/>
      <sz val="12"/>
      <color theme="1"/>
      <name val="Calibri"/>
      <family val="2"/>
      <charset val="1"/>
    </font>
    <font>
      <sz val="11"/>
      <color rgb="FF6C757D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name val="Calibri"/>
      <family val="2"/>
      <charset val="1"/>
    </font>
    <font>
      <i/>
      <sz val="11"/>
      <color theme="1"/>
      <name val="Calibri"/>
      <family val="2"/>
      <charset val="1"/>
    </font>
    <font>
      <b/>
      <sz val="18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444444"/>
      <name val="Calibri"/>
      <family val="2"/>
      <charset val="1"/>
    </font>
    <font>
      <i/>
      <sz val="11"/>
      <name val="Calibri"/>
      <family val="2"/>
      <charset val="1"/>
    </font>
    <font>
      <i/>
      <sz val="11"/>
      <color rgb="FF444444"/>
      <name val="Calibri"/>
      <family val="2"/>
      <charset val="1"/>
    </font>
    <font>
      <sz val="14"/>
      <color rgb="FFFF0000"/>
      <name val="Calibri"/>
      <family val="2"/>
      <charset val="1"/>
    </font>
    <font>
      <sz val="12"/>
      <color rgb="FF000000"/>
      <name val="Calibri"/>
      <family val="2"/>
      <charset val="1"/>
    </font>
    <font>
      <i/>
      <sz val="10"/>
      <color rgb="FF7F7F7F"/>
      <name val="Calibri"/>
      <family val="2"/>
    </font>
    <font>
      <sz val="11"/>
      <color rgb="FF242424"/>
      <name val="Aptos Narrow"/>
    </font>
    <font>
      <sz val="12"/>
      <name val="Calibri"/>
      <family val="2"/>
      <charset val="1"/>
    </font>
    <font>
      <b/>
      <i/>
      <sz val="11"/>
      <color theme="1"/>
      <name val="Calibri"/>
      <family val="2"/>
      <charset val="1"/>
    </font>
    <font>
      <b/>
      <i/>
      <sz val="11"/>
      <color rgb="FFFF0000"/>
      <name val="Calibri"/>
      <family val="2"/>
      <charset val="1"/>
    </font>
    <font>
      <b/>
      <sz val="9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2"/>
      <name val="Calibri"/>
      <family val="2"/>
      <charset val="1"/>
    </font>
    <font>
      <sz val="12"/>
      <color rgb="FF0070C0"/>
      <name val="Calibri"/>
      <family val="2"/>
      <charset val="1"/>
    </font>
    <font>
      <sz val="11"/>
      <color theme="8"/>
      <name val="Calibri"/>
      <family val="2"/>
      <charset val="1"/>
    </font>
    <font>
      <sz val="11"/>
      <color rgb="FF0070C0"/>
      <name val="Calibri"/>
      <family val="2"/>
      <charset val="1"/>
    </font>
    <font>
      <sz val="8"/>
      <color rgb="FF3E4044"/>
      <name val="Open Sans"/>
      <family val="2"/>
      <charset val="1"/>
    </font>
    <font>
      <sz val="10"/>
      <name val="Calibri"/>
      <family val="2"/>
      <charset val="1"/>
    </font>
    <font>
      <sz val="12"/>
      <color rgb="FFFF0000"/>
      <name val="Calibri"/>
      <family val="2"/>
      <charset val="1"/>
    </font>
    <font>
      <sz val="11"/>
      <color rgb="FF9C0006"/>
      <name val="Arial"/>
      <family val="2"/>
      <charset val="1"/>
    </font>
    <font>
      <sz val="8"/>
      <color rgb="FF000000"/>
      <name val="Calibri"/>
      <family val="2"/>
      <charset val="1"/>
    </font>
    <font>
      <i/>
      <sz val="12"/>
      <name val="Calibri"/>
      <family val="2"/>
      <charset val="1"/>
    </font>
    <font>
      <sz val="16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sz val="12"/>
      <color rgb="FF444444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0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b/>
      <sz val="18"/>
      <name val="Calibri"/>
      <family val="2"/>
    </font>
    <font>
      <sz val="11"/>
      <color theme="1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C7CE"/>
        <bgColor rgb="FFFBE5D6"/>
      </patternFill>
    </fill>
    <fill>
      <patternFill patternType="solid">
        <fgColor rgb="FFDCEFEC"/>
        <bgColor rgb="FFCCFFFF"/>
      </patternFill>
    </fill>
    <fill>
      <patternFill patternType="solid">
        <fgColor rgb="FF82D7BF"/>
        <bgColor rgb="FF98B8DF"/>
      </patternFill>
    </fill>
    <fill>
      <patternFill patternType="solid">
        <fgColor theme="0"/>
        <bgColor rgb="FFDCEFEC"/>
      </patternFill>
    </fill>
    <fill>
      <patternFill patternType="solid">
        <fgColor theme="7" tint="0.59987182226020086"/>
        <bgColor rgb="FFFBE5D6"/>
      </patternFill>
    </fill>
    <fill>
      <patternFill patternType="solid">
        <fgColor theme="5" tint="0.79989013336588644"/>
        <bgColor rgb="FFDCEFEC"/>
      </patternFill>
    </fill>
    <fill>
      <patternFill patternType="solid">
        <fgColor theme="8" tint="0.39988402966399123"/>
        <bgColor rgb="FF98B8DF"/>
      </patternFill>
    </fill>
    <fill>
      <patternFill patternType="solid">
        <fgColor rgb="FFDCEFEC"/>
        <bgColor indexed="64"/>
      </patternFill>
    </fill>
  </fills>
  <borders count="1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8" fontId="50" fillId="0" borderId="0"/>
    <xf numFmtId="0" fontId="2" fillId="0" borderId="0"/>
    <xf numFmtId="0" fontId="2" fillId="0" borderId="0"/>
    <xf numFmtId="0" fontId="40" fillId="2" borderId="0"/>
  </cellStyleXfs>
  <cellXfs count="605">
    <xf numFmtId="0" fontId="0" fillId="0" borderId="0" xfId="0"/>
    <xf numFmtId="0" fontId="15" fillId="0" borderId="10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indent="1"/>
    </xf>
    <xf numFmtId="0" fontId="36" fillId="5" borderId="10" xfId="0" applyFont="1" applyFill="1" applyBorder="1" applyAlignment="1">
      <alignment horizontal="left" vertical="center" indent="1"/>
    </xf>
    <xf numFmtId="0" fontId="36" fillId="0" borderId="10" xfId="0" applyFont="1" applyBorder="1" applyAlignment="1">
      <alignment horizontal="left" vertical="center" indent="1"/>
    </xf>
    <xf numFmtId="0" fontId="7" fillId="4" borderId="10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 indent="1"/>
    </xf>
    <xf numFmtId="0" fontId="12" fillId="3" borderId="10" xfId="0" applyFont="1" applyFill="1" applyBorder="1" applyAlignment="1" applyProtection="1">
      <alignment horizontal="left" vertical="center" wrapText="1" indent="1"/>
      <protection locked="0"/>
    </xf>
    <xf numFmtId="0" fontId="17" fillId="0" borderId="0" xfId="0" applyFont="1" applyAlignment="1" applyProtection="1">
      <alignment horizontal="left" wrapText="1" indent="1"/>
      <protection locked="0"/>
    </xf>
    <xf numFmtId="0" fontId="12" fillId="4" borderId="10" xfId="0" applyFont="1" applyFill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wrapText="1" indent="1"/>
    </xf>
    <xf numFmtId="0" fontId="16" fillId="6" borderId="15" xfId="0" applyFont="1" applyFill="1" applyBorder="1" applyAlignment="1" applyProtection="1">
      <alignment horizontal="left" vertical="center"/>
      <protection locked="0"/>
    </xf>
    <xf numFmtId="0" fontId="3" fillId="6" borderId="10" xfId="0" applyFont="1" applyFill="1" applyBorder="1" applyAlignment="1" applyProtection="1">
      <alignment horizontal="left" vertical="center"/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indent="1"/>
    </xf>
    <xf numFmtId="0" fontId="6" fillId="0" borderId="0" xfId="0" applyFont="1"/>
    <xf numFmtId="0" fontId="7" fillId="3" borderId="1" xfId="0" applyFont="1" applyFill="1" applyBorder="1" applyAlignment="1">
      <alignment horizontal="left" vertical="center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 applyAlignment="1">
      <alignment horizontal="left" vertical="center" indent="1"/>
    </xf>
    <xf numFmtId="0" fontId="3" fillId="3" borderId="0" xfId="0" applyFont="1" applyFill="1"/>
    <xf numFmtId="0" fontId="3" fillId="3" borderId="5" xfId="0" applyFont="1" applyFill="1" applyBorder="1"/>
    <xf numFmtId="0" fontId="3" fillId="3" borderId="6" xfId="0" applyFont="1" applyFill="1" applyBorder="1" applyAlignment="1">
      <alignment horizontal="left" vertical="center" indent="1"/>
    </xf>
    <xf numFmtId="0" fontId="3" fillId="3" borderId="7" xfId="0" applyFont="1" applyFill="1" applyBorder="1" applyAlignment="1">
      <alignment horizontal="left" vertical="center" indent="1"/>
    </xf>
    <xf numFmtId="0" fontId="3" fillId="3" borderId="8" xfId="0" applyFont="1" applyFill="1" applyBorder="1"/>
    <xf numFmtId="0" fontId="3" fillId="3" borderId="9" xfId="0" applyFont="1" applyFill="1" applyBorder="1"/>
    <xf numFmtId="0" fontId="3" fillId="0" borderId="0" xfId="0" applyFont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6" xfId="0" applyFont="1" applyFill="1" applyBorder="1" applyAlignment="1">
      <alignment horizontal="left" vertical="center" indent="1"/>
    </xf>
    <xf numFmtId="0" fontId="3" fillId="4" borderId="0" xfId="0" applyFont="1" applyFill="1"/>
    <xf numFmtId="0" fontId="3" fillId="4" borderId="5" xfId="0" applyFont="1" applyFill="1" applyBorder="1"/>
    <xf numFmtId="0" fontId="3" fillId="4" borderId="7" xfId="0" applyFont="1" applyFill="1" applyBorder="1" applyAlignment="1">
      <alignment horizontal="left" vertical="center" indent="1"/>
    </xf>
    <xf numFmtId="0" fontId="3" fillId="4" borderId="8" xfId="0" applyFont="1" applyFill="1" applyBorder="1"/>
    <xf numFmtId="0" fontId="3" fillId="4" borderId="9" xfId="0" applyFont="1" applyFill="1" applyBorder="1"/>
    <xf numFmtId="0" fontId="7" fillId="0" borderId="0" xfId="0" applyFont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9" fillId="0" borderId="0" xfId="0" applyFont="1"/>
    <xf numFmtId="0" fontId="7" fillId="0" borderId="0" xfId="0" applyFont="1"/>
    <xf numFmtId="0" fontId="10" fillId="0" borderId="0" xfId="0" applyFont="1"/>
    <xf numFmtId="0" fontId="3" fillId="0" borderId="0" xfId="0" applyFont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indent="1"/>
    </xf>
    <xf numFmtId="0" fontId="11" fillId="0" borderId="0" xfId="0" applyFont="1"/>
    <xf numFmtId="0" fontId="11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 vertical="center" indent="1"/>
    </xf>
    <xf numFmtId="0" fontId="13" fillId="0" borderId="0" xfId="0" applyFont="1" applyAlignment="1">
      <alignment horizontal="justify" vertical="center" wrapText="1"/>
    </xf>
    <xf numFmtId="0" fontId="2" fillId="0" borderId="0" xfId="2" applyAlignment="1">
      <alignment horizontal="left" indent="1"/>
    </xf>
    <xf numFmtId="0" fontId="14" fillId="0" borderId="0" xfId="3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8" fillId="0" borderId="6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6" fillId="0" borderId="0" xfId="0" applyFont="1"/>
    <xf numFmtId="0" fontId="17" fillId="0" borderId="0" xfId="0" applyFont="1" applyAlignment="1">
      <alignment horizontal="left" indent="1"/>
    </xf>
    <xf numFmtId="0" fontId="7" fillId="0" borderId="0" xfId="0" applyFont="1" applyAlignment="1">
      <alignment horizontal="center" wrapText="1"/>
    </xf>
    <xf numFmtId="0" fontId="8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18" fillId="3" borderId="7" xfId="0" applyFont="1" applyFill="1" applyBorder="1" applyAlignment="1">
      <alignment horizontal="left" vertical="center" indent="1"/>
    </xf>
    <xf numFmtId="0" fontId="7" fillId="3" borderId="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 indent="1"/>
    </xf>
    <xf numFmtId="0" fontId="7" fillId="0" borderId="12" xfId="0" applyFont="1" applyBorder="1" applyAlignment="1">
      <alignment horizontal="left" vertical="center" indent="1"/>
    </xf>
    <xf numFmtId="0" fontId="3" fillId="6" borderId="12" xfId="0" applyFont="1" applyFill="1" applyBorder="1" applyAlignment="1" applyProtection="1">
      <alignment horizontal="left" vertical="center"/>
      <protection locked="0"/>
    </xf>
    <xf numFmtId="0" fontId="3" fillId="6" borderId="13" xfId="0" applyFont="1" applyFill="1" applyBorder="1" applyAlignment="1" applyProtection="1">
      <alignment horizontal="left" vertical="center"/>
      <protection locked="0"/>
    </xf>
    <xf numFmtId="0" fontId="3" fillId="6" borderId="14" xfId="0" applyFont="1" applyFill="1" applyBorder="1" applyAlignment="1" applyProtection="1">
      <alignment horizontal="left" vertical="center"/>
      <protection locked="0"/>
    </xf>
    <xf numFmtId="0" fontId="19" fillId="0" borderId="12" xfId="0" applyFont="1" applyBorder="1" applyAlignment="1">
      <alignment horizontal="left" vertical="center" indent="1"/>
    </xf>
    <xf numFmtId="0" fontId="20" fillId="6" borderId="12" xfId="0" applyFont="1" applyFill="1" applyBorder="1" applyAlignment="1" applyProtection="1">
      <alignment horizontal="left" vertical="center"/>
      <protection locked="0"/>
    </xf>
    <xf numFmtId="0" fontId="20" fillId="0" borderId="1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7" fillId="0" borderId="10" xfId="0" applyFont="1" applyBorder="1" applyAlignment="1">
      <alignment horizontal="left" vertical="center" indent="1"/>
    </xf>
    <xf numFmtId="3" fontId="3" fillId="6" borderId="7" xfId="0" applyNumberFormat="1" applyFont="1" applyFill="1" applyBorder="1" applyAlignment="1" applyProtection="1">
      <alignment horizontal="left" vertical="center"/>
      <protection locked="0"/>
    </xf>
    <xf numFmtId="0" fontId="7" fillId="0" borderId="7" xfId="0" applyFont="1" applyBorder="1" applyAlignment="1">
      <alignment horizontal="left" vertical="center" indent="1"/>
    </xf>
    <xf numFmtId="0" fontId="16" fillId="0" borderId="6" xfId="0" applyFont="1" applyBorder="1" applyAlignment="1">
      <alignment horizontal="left" wrapText="1"/>
    </xf>
    <xf numFmtId="0" fontId="7" fillId="0" borderId="10" xfId="0" applyFont="1" applyBorder="1" applyAlignment="1">
      <alignment horizontal="left" vertical="center" wrapText="1" indent="1"/>
    </xf>
    <xf numFmtId="3" fontId="3" fillId="6" borderId="12" xfId="0" applyNumberFormat="1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 applyProtection="1">
      <alignment horizontal="left" vertical="center"/>
      <protection locked="0"/>
    </xf>
    <xf numFmtId="0" fontId="7" fillId="0" borderId="15" xfId="0" applyFont="1" applyBorder="1" applyAlignment="1">
      <alignment horizontal="left" vertical="center" indent="1"/>
    </xf>
    <xf numFmtId="0" fontId="21" fillId="0" borderId="0" xfId="0" applyFont="1" applyAlignment="1">
      <alignment horizontal="left"/>
    </xf>
    <xf numFmtId="0" fontId="7" fillId="0" borderId="12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 wrapText="1" indent="1"/>
    </xf>
    <xf numFmtId="0" fontId="3" fillId="4" borderId="13" xfId="0" applyFont="1" applyFill="1" applyBorder="1"/>
    <xf numFmtId="0" fontId="3" fillId="4" borderId="14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 wrapText="1" indent="1"/>
    </xf>
    <xf numFmtId="0" fontId="7" fillId="4" borderId="10" xfId="0" applyFont="1" applyFill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wrapText="1" indent="1"/>
    </xf>
    <xf numFmtId="2" fontId="3" fillId="7" borderId="10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 indent="1"/>
      <protection locked="0"/>
    </xf>
    <xf numFmtId="0" fontId="3" fillId="0" borderId="11" xfId="0" applyFont="1" applyBorder="1" applyAlignment="1">
      <alignment horizontal="left" vertical="center" wrapText="1" indent="1"/>
    </xf>
    <xf numFmtId="2" fontId="3" fillId="7" borderId="11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 indent="1"/>
      <protection locked="0"/>
    </xf>
    <xf numFmtId="2" fontId="3" fillId="7" borderId="10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Protection="1">
      <protection locked="0"/>
    </xf>
    <xf numFmtId="2" fontId="15" fillId="7" borderId="10" xfId="0" applyNumberFormat="1" applyFont="1" applyFill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0" xfId="0" applyFont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7" xfId="0" applyFont="1" applyBorder="1" applyProtection="1">
      <protection locked="0"/>
    </xf>
    <xf numFmtId="2" fontId="15" fillId="7" borderId="11" xfId="0" applyNumberFormat="1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2" fontId="3" fillId="6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left" vertical="center" wrapText="1" indent="1"/>
    </xf>
    <xf numFmtId="2" fontId="3" fillId="7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 indent="1"/>
      <protection locked="0"/>
    </xf>
    <xf numFmtId="1" fontId="3" fillId="7" borderId="15" xfId="0" applyNumberFormat="1" applyFont="1" applyFill="1" applyBorder="1" applyAlignment="1">
      <alignment horizontal="center" vertical="center"/>
    </xf>
    <xf numFmtId="0" fontId="3" fillId="0" borderId="10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8" fillId="0" borderId="0" xfId="0" applyFont="1"/>
    <xf numFmtId="0" fontId="8" fillId="4" borderId="12" xfId="0" applyFont="1" applyFill="1" applyBorder="1" applyAlignment="1">
      <alignment horizontal="left" vertical="center" wrapText="1" indent="1"/>
    </xf>
    <xf numFmtId="0" fontId="8" fillId="4" borderId="14" xfId="0" applyFont="1" applyFill="1" applyBorder="1" applyAlignment="1">
      <alignment horizontal="left" wrapText="1"/>
    </xf>
    <xf numFmtId="0" fontId="7" fillId="4" borderId="10" xfId="0" applyFont="1" applyFill="1" applyBorder="1" applyAlignment="1">
      <alignment horizontal="left" vertical="center" wrapText="1" indent="1"/>
    </xf>
    <xf numFmtId="2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left" vertical="center" wrapText="1" indent="1"/>
      <protection locked="0"/>
    </xf>
    <xf numFmtId="2" fontId="3" fillId="7" borderId="10" xfId="0" applyNumberFormat="1" applyFont="1" applyFill="1" applyBorder="1" applyAlignment="1">
      <alignment horizontal="center" vertical="center" wrapText="1"/>
    </xf>
    <xf numFmtId="1" fontId="3" fillId="7" borderId="10" xfId="0" applyNumberFormat="1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164" fontId="3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left" vertical="center" indent="1"/>
      <protection locked="0"/>
    </xf>
    <xf numFmtId="165" fontId="3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0" fontId="3" fillId="0" borderId="10" xfId="0" applyFont="1" applyBorder="1" applyAlignment="1" applyProtection="1">
      <alignment horizontal="left" vertical="center" indent="1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vertical="center"/>
    </xf>
    <xf numFmtId="0" fontId="16" fillId="0" borderId="0" xfId="0" applyFont="1" applyAlignment="1">
      <alignment wrapText="1"/>
    </xf>
    <xf numFmtId="0" fontId="15" fillId="0" borderId="0" xfId="0" applyFont="1" applyAlignment="1">
      <alignment horizontal="left" vertical="center" indent="1"/>
    </xf>
    <xf numFmtId="0" fontId="15" fillId="0" borderId="0" xfId="0" applyFont="1"/>
    <xf numFmtId="0" fontId="22" fillId="0" borderId="0" xfId="0" applyFont="1" applyAlignment="1">
      <alignment wrapText="1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wrapText="1" indent="1"/>
    </xf>
    <xf numFmtId="0" fontId="20" fillId="0" borderId="6" xfId="0" applyFont="1" applyBorder="1" applyAlignment="1">
      <alignment horizontal="left" vertical="center" indent="1"/>
    </xf>
    <xf numFmtId="0" fontId="6" fillId="0" borderId="6" xfId="0" applyFont="1" applyBorder="1" applyAlignment="1">
      <alignment vertical="top"/>
    </xf>
    <xf numFmtId="0" fontId="23" fillId="0" borderId="6" xfId="0" applyFont="1" applyBorder="1" applyAlignment="1">
      <alignment vertical="top" wrapText="1"/>
    </xf>
    <xf numFmtId="0" fontId="24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left" indent="1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wrapText="1"/>
    </xf>
    <xf numFmtId="0" fontId="25" fillId="3" borderId="7" xfId="0" applyFont="1" applyFill="1" applyBorder="1" applyAlignment="1">
      <alignment horizontal="left" indent="1"/>
    </xf>
    <xf numFmtId="0" fontId="3" fillId="3" borderId="8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left" vertical="center" inden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indent="1"/>
    </xf>
    <xf numFmtId="3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0" fontId="3" fillId="0" borderId="14" xfId="0" applyFont="1" applyBorder="1" applyAlignment="1">
      <alignment horizontal="left" vertical="center" indent="1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15" fillId="0" borderId="10" xfId="0" applyFont="1" applyBorder="1" applyAlignment="1" applyProtection="1">
      <alignment horizontal="left" vertical="center" wrapText="1" indent="1"/>
      <protection locked="0"/>
    </xf>
    <xf numFmtId="0" fontId="7" fillId="4" borderId="14" xfId="0" applyFont="1" applyFill="1" applyBorder="1" applyAlignment="1">
      <alignment horizontal="left" vertical="center" indent="1"/>
    </xf>
    <xf numFmtId="0" fontId="7" fillId="4" borderId="1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 applyProtection="1">
      <alignment horizontal="left" vertical="center" wrapText="1" indent="1"/>
      <protection locked="0"/>
    </xf>
    <xf numFmtId="3" fontId="3" fillId="6" borderId="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left" vertical="center" wrapText="1" indent="1"/>
      <protection locked="0"/>
    </xf>
    <xf numFmtId="0" fontId="3" fillId="0" borderId="15" xfId="0" applyFont="1" applyBorder="1" applyAlignment="1">
      <alignment horizontal="left" vertical="center" indent="1"/>
    </xf>
    <xf numFmtId="0" fontId="3" fillId="0" borderId="15" xfId="0" applyFont="1" applyBorder="1" applyAlignment="1" applyProtection="1">
      <alignment horizontal="left" vertical="center" wrapText="1" indent="1"/>
      <protection locked="0"/>
    </xf>
    <xf numFmtId="3" fontId="3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 wrapText="1" indent="1"/>
    </xf>
    <xf numFmtId="3" fontId="3" fillId="0" borderId="0" xfId="0" applyNumberFormat="1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 indent="1"/>
    </xf>
    <xf numFmtId="0" fontId="12" fillId="4" borderId="12" xfId="0" applyFont="1" applyFill="1" applyBorder="1" applyAlignment="1">
      <alignment horizontal="left" vertical="center" indent="1"/>
    </xf>
    <xf numFmtId="0" fontId="7" fillId="4" borderId="13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right"/>
    </xf>
    <xf numFmtId="0" fontId="7" fillId="4" borderId="11" xfId="0" applyFont="1" applyFill="1" applyBorder="1" applyAlignment="1">
      <alignment horizontal="left" vertical="center" inden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165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>
      <alignment horizontal="left" vertical="center" wrapText="1" indent="1"/>
    </xf>
    <xf numFmtId="0" fontId="20" fillId="0" borderId="3" xfId="0" applyFont="1" applyBorder="1" applyAlignment="1" applyProtection="1">
      <alignment horizontal="left" vertical="center" wrapText="1" indent="1"/>
      <protection locked="0"/>
    </xf>
    <xf numFmtId="0" fontId="26" fillId="0" borderId="0" xfId="0" applyFont="1"/>
    <xf numFmtId="0" fontId="7" fillId="4" borderId="7" xfId="0" applyFont="1" applyFill="1" applyBorder="1" applyAlignment="1">
      <alignment horizontal="center" vertical="center" wrapText="1"/>
    </xf>
    <xf numFmtId="164" fontId="3" fillId="6" borderId="12" xfId="0" applyNumberFormat="1" applyFont="1" applyFill="1" applyBorder="1" applyAlignment="1" applyProtection="1">
      <alignment horizontal="center" vertical="center" wrapText="1"/>
      <protection locked="0"/>
    </xf>
    <xf numFmtId="2" fontId="20" fillId="0" borderId="10" xfId="0" applyNumberFormat="1" applyFont="1" applyBorder="1" applyAlignment="1">
      <alignment horizontal="right" vertical="center" indent="1"/>
    </xf>
    <xf numFmtId="2" fontId="20" fillId="0" borderId="15" xfId="0" applyNumberFormat="1" applyFont="1" applyBorder="1" applyAlignment="1">
      <alignment horizontal="right" vertical="center" indent="1"/>
    </xf>
    <xf numFmtId="0" fontId="7" fillId="8" borderId="10" xfId="0" applyFont="1" applyFill="1" applyBorder="1" applyAlignment="1">
      <alignment horizontal="left" vertical="center" indent="1"/>
    </xf>
    <xf numFmtId="164" fontId="7" fillId="8" borderId="12" xfId="0" applyNumberFormat="1" applyFont="1" applyFill="1" applyBorder="1" applyAlignment="1">
      <alignment horizontal="center" vertical="center"/>
    </xf>
    <xf numFmtId="2" fontId="20" fillId="8" borderId="10" xfId="0" applyNumberFormat="1" applyFont="1" applyFill="1" applyBorder="1" applyAlignment="1">
      <alignment horizontal="right" vertical="center" indent="1"/>
    </xf>
    <xf numFmtId="2" fontId="7" fillId="8" borderId="4" xfId="0" applyNumberFormat="1" applyFont="1" applyFill="1" applyBorder="1" applyAlignment="1">
      <alignment horizontal="right" vertical="center" indent="1"/>
    </xf>
    <xf numFmtId="0" fontId="7" fillId="4" borderId="12" xfId="0" applyFont="1" applyFill="1" applyBorder="1" applyAlignment="1">
      <alignment horizontal="center" vertical="center" wrapText="1"/>
    </xf>
    <xf numFmtId="164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left" vertical="center" indent="1"/>
    </xf>
    <xf numFmtId="164" fontId="7" fillId="4" borderId="1" xfId="0" applyNumberFormat="1" applyFont="1" applyFill="1" applyBorder="1" applyAlignment="1">
      <alignment horizontal="center" vertical="center" wrapText="1"/>
    </xf>
    <xf numFmtId="166" fontId="19" fillId="4" borderId="10" xfId="0" applyNumberFormat="1" applyFont="1" applyFill="1" applyBorder="1" applyAlignment="1">
      <alignment horizontal="left" vertical="center" wrapText="1" indent="1"/>
    </xf>
    <xf numFmtId="2" fontId="20" fillId="0" borderId="11" xfId="0" applyNumberFormat="1" applyFont="1" applyBorder="1" applyAlignment="1">
      <alignment horizontal="right" vertical="center" indent="1"/>
    </xf>
    <xf numFmtId="2" fontId="20" fillId="0" borderId="4" xfId="0" applyNumberFormat="1" applyFont="1" applyBorder="1" applyAlignment="1">
      <alignment horizontal="right" vertical="center" indent="1"/>
    </xf>
    <xf numFmtId="0" fontId="7" fillId="8" borderId="15" xfId="0" applyFont="1" applyFill="1" applyBorder="1" applyAlignment="1">
      <alignment horizontal="left" vertical="center" indent="1"/>
    </xf>
    <xf numFmtId="164" fontId="7" fillId="8" borderId="1" xfId="0" applyNumberFormat="1" applyFont="1" applyFill="1" applyBorder="1" applyAlignment="1">
      <alignment horizontal="center" vertical="center"/>
    </xf>
    <xf numFmtId="2" fontId="20" fillId="8" borderId="4" xfId="0" applyNumberFormat="1" applyFont="1" applyFill="1" applyBorder="1" applyAlignment="1">
      <alignment horizontal="right" vertical="center" indent="1"/>
    </xf>
    <xf numFmtId="164" fontId="7" fillId="8" borderId="10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3" fontId="3" fillId="7" borderId="10" xfId="0" applyNumberFormat="1" applyFont="1" applyFill="1" applyBorder="1" applyAlignment="1">
      <alignment horizontal="center"/>
    </xf>
    <xf numFmtId="166" fontId="15" fillId="0" borderId="13" xfId="0" applyNumberFormat="1" applyFont="1" applyBorder="1" applyAlignment="1">
      <alignment horizontal="center" vertical="center" wrapText="1"/>
    </xf>
    <xf numFmtId="166" fontId="3" fillId="0" borderId="10" xfId="0" applyNumberFormat="1" applyFont="1" applyBorder="1" applyAlignment="1">
      <alignment horizontal="center"/>
    </xf>
    <xf numFmtId="166" fontId="15" fillId="0" borderId="2" xfId="0" applyNumberFormat="1" applyFont="1" applyBorder="1" applyAlignment="1">
      <alignment horizontal="center" vertical="center" wrapText="1"/>
    </xf>
    <xf numFmtId="166" fontId="15" fillId="0" borderId="12" xfId="0" applyNumberFormat="1" applyFont="1" applyBorder="1" applyAlignment="1">
      <alignment horizontal="center" vertical="center" wrapText="1"/>
    </xf>
    <xf numFmtId="166" fontId="3" fillId="5" borderId="10" xfId="0" applyNumberFormat="1" applyFont="1" applyFill="1" applyBorder="1" applyAlignment="1">
      <alignment horizontal="center"/>
    </xf>
    <xf numFmtId="166" fontId="15" fillId="4" borderId="12" xfId="0" applyNumberFormat="1" applyFont="1" applyFill="1" applyBorder="1" applyAlignment="1">
      <alignment horizontal="center" vertical="center" wrapText="1"/>
    </xf>
    <xf numFmtId="166" fontId="15" fillId="4" borderId="10" xfId="0" applyNumberFormat="1" applyFont="1" applyFill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/>
    </xf>
    <xf numFmtId="3" fontId="3" fillId="7" borderId="15" xfId="0" applyNumberFormat="1" applyFont="1" applyFill="1" applyBorder="1" applyAlignment="1">
      <alignment horizontal="center"/>
    </xf>
    <xf numFmtId="166" fontId="3" fillId="0" borderId="15" xfId="0" applyNumberFormat="1" applyFont="1" applyBorder="1" applyAlignment="1">
      <alignment horizontal="center"/>
    </xf>
    <xf numFmtId="0" fontId="27" fillId="0" borderId="0" xfId="0" applyFont="1"/>
    <xf numFmtId="0" fontId="7" fillId="8" borderId="12" xfId="0" applyFont="1" applyFill="1" applyBorder="1" applyAlignment="1">
      <alignment horizontal="left" vertical="center" indent="1"/>
    </xf>
    <xf numFmtId="164" fontId="7" fillId="8" borderId="14" xfId="0" applyNumberFormat="1" applyFont="1" applyFill="1" applyBorder="1" applyAlignment="1">
      <alignment horizontal="center" vertical="center"/>
    </xf>
    <xf numFmtId="164" fontId="7" fillId="8" borderId="2" xfId="0" applyNumberFormat="1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left" vertical="center" indent="1"/>
    </xf>
    <xf numFmtId="164" fontId="7" fillId="8" borderId="8" xfId="0" applyNumberFormat="1" applyFont="1" applyFill="1" applyBorder="1" applyAlignment="1">
      <alignment horizontal="center" vertical="center"/>
    </xf>
    <xf numFmtId="2" fontId="20" fillId="8" borderId="14" xfId="0" applyNumberFormat="1" applyFont="1" applyFill="1" applyBorder="1" applyAlignment="1">
      <alignment horizontal="right" vertical="center" indent="1"/>
    </xf>
    <xf numFmtId="167" fontId="19" fillId="8" borderId="1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 applyProtection="1">
      <alignment wrapText="1"/>
      <protection locked="0"/>
    </xf>
    <xf numFmtId="0" fontId="17" fillId="0" borderId="0" xfId="0" applyFont="1" applyAlignment="1" applyProtection="1">
      <alignment horizontal="left" vertical="center" wrapText="1" indent="1"/>
      <protection locked="0"/>
    </xf>
    <xf numFmtId="0" fontId="8" fillId="3" borderId="1" xfId="0" applyFont="1" applyFill="1" applyBorder="1" applyAlignment="1" applyProtection="1">
      <alignment horizontal="left" vertical="center" wrapText="1" indent="1"/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3" fillId="3" borderId="0" xfId="0" applyFont="1" applyFill="1" applyAlignment="1" applyProtection="1">
      <alignment horizontal="left" vertical="center" indent="1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3" fillId="3" borderId="5" xfId="0" applyFont="1" applyFill="1" applyBorder="1" applyAlignment="1" applyProtection="1">
      <alignment horizontal="left" vertical="center" wrapText="1" inden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 wrapText="1"/>
    </xf>
    <xf numFmtId="0" fontId="28" fillId="3" borderId="7" xfId="0" applyFont="1" applyFill="1" applyBorder="1" applyAlignment="1" applyProtection="1">
      <alignment horizontal="left" vertical="center" wrapText="1" indent="1"/>
      <protection locked="0"/>
    </xf>
    <xf numFmtId="0" fontId="3" fillId="3" borderId="8" xfId="0" applyFont="1" applyFill="1" applyBorder="1" applyAlignment="1" applyProtection="1">
      <alignment horizontal="left" vertical="center" wrapText="1" indent="1"/>
      <protection locked="0"/>
    </xf>
    <xf numFmtId="0" fontId="3" fillId="3" borderId="9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center" wrapText="1" indent="1"/>
      <protection locked="0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4" borderId="9" xfId="0" applyFont="1" applyFill="1" applyBorder="1" applyAlignment="1" applyProtection="1">
      <alignment horizontal="left" vertical="center" wrapText="1" indent="1"/>
      <protection locked="0"/>
    </xf>
    <xf numFmtId="0" fontId="7" fillId="4" borderId="1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1" fontId="3" fillId="7" borderId="10" xfId="0" applyNumberFormat="1" applyFont="1" applyFill="1" applyBorder="1" applyAlignment="1" applyProtection="1">
      <alignment horizontal="center" vertical="center" wrapText="1"/>
      <protection locked="0"/>
    </xf>
    <xf numFmtId="169" fontId="3" fillId="0" borderId="10" xfId="1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wrapText="1"/>
    </xf>
    <xf numFmtId="1" fontId="25" fillId="0" borderId="0" xfId="0" applyNumberFormat="1" applyFont="1" applyAlignment="1">
      <alignment horizontal="center" wrapText="1"/>
    </xf>
    <xf numFmtId="167" fontId="25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20" fillId="0" borderId="10" xfId="0" applyFont="1" applyBorder="1" applyAlignment="1" applyProtection="1">
      <alignment horizontal="left" vertical="center" wrapText="1" indent="1"/>
      <protection locked="0"/>
    </xf>
    <xf numFmtId="169" fontId="3" fillId="0" borderId="14" xfId="1" applyNumberFormat="1" applyFont="1" applyBorder="1" applyAlignment="1" applyProtection="1">
      <alignment horizontal="center" vertical="center" wrapText="1"/>
      <protection locked="0"/>
    </xf>
    <xf numFmtId="0" fontId="7" fillId="8" borderId="14" xfId="0" applyFont="1" applyFill="1" applyBorder="1" applyAlignment="1" applyProtection="1">
      <alignment horizontal="left" vertical="center" wrapText="1" indent="1"/>
      <protection locked="0"/>
    </xf>
    <xf numFmtId="2" fontId="7" fillId="8" borderId="10" xfId="0" applyNumberFormat="1" applyFont="1" applyFill="1" applyBorder="1" applyAlignment="1" applyProtection="1">
      <alignment horizontal="center" vertical="center" wrapText="1"/>
      <protection locked="0"/>
    </xf>
    <xf numFmtId="169" fontId="7" fillId="8" borderId="10" xfId="1" applyNumberFormat="1" applyFont="1" applyFill="1" applyBorder="1" applyAlignment="1" applyProtection="1">
      <alignment horizontal="center" vertical="center" wrapText="1"/>
      <protection locked="0"/>
    </xf>
    <xf numFmtId="2" fontId="25" fillId="0" borderId="0" xfId="0" applyNumberFormat="1" applyFont="1" applyAlignment="1">
      <alignment horizontal="center" wrapText="1"/>
    </xf>
    <xf numFmtId="0" fontId="29" fillId="0" borderId="0" xfId="0" applyFont="1" applyAlignment="1">
      <alignment wrapText="1"/>
    </xf>
    <xf numFmtId="0" fontId="29" fillId="0" borderId="5" xfId="0" applyFont="1" applyBorder="1" applyAlignment="1" applyProtection="1">
      <alignment horizontal="left" vertical="center" wrapText="1" indent="1"/>
      <protection locked="0"/>
    </xf>
    <xf numFmtId="0" fontId="29" fillId="0" borderId="6" xfId="0" applyFont="1" applyBorder="1" applyAlignment="1" applyProtection="1">
      <alignment horizontal="right" wrapText="1"/>
      <protection locked="0"/>
    </xf>
    <xf numFmtId="0" fontId="29" fillId="0" borderId="0" xfId="0" applyFont="1" applyAlignment="1" applyProtection="1">
      <alignment horizontal="right" wrapText="1"/>
      <protection locked="0"/>
    </xf>
    <xf numFmtId="0" fontId="7" fillId="4" borderId="11" xfId="0" applyFont="1" applyFill="1" applyBorder="1" applyAlignment="1" applyProtection="1">
      <alignment horizontal="left" vertical="center" wrapText="1" inden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4" borderId="1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wrapText="1"/>
    </xf>
    <xf numFmtId="1" fontId="12" fillId="0" borderId="0" xfId="0" applyNumberFormat="1" applyFont="1" applyAlignment="1">
      <alignment horizontal="center" wrapText="1"/>
    </xf>
    <xf numFmtId="168" fontId="12" fillId="0" borderId="0" xfId="1" applyFont="1" applyAlignment="1">
      <alignment horizont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168" fontId="3" fillId="0" borderId="10" xfId="1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7" fillId="8" borderId="10" xfId="0" applyFont="1" applyFill="1" applyBorder="1" applyAlignment="1" applyProtection="1">
      <alignment horizontal="left" vertical="center" wrapText="1" indent="1"/>
      <protection locked="0"/>
    </xf>
    <xf numFmtId="1" fontId="7" fillId="8" borderId="10" xfId="0" applyNumberFormat="1" applyFont="1" applyFill="1" applyBorder="1" applyAlignment="1" applyProtection="1">
      <alignment horizontal="center" vertical="center" wrapText="1"/>
      <protection locked="0"/>
    </xf>
    <xf numFmtId="168" fontId="7" fillId="8" borderId="10" xfId="1" applyFont="1" applyFill="1" applyBorder="1" applyAlignment="1" applyProtection="1">
      <alignment horizontal="center" vertical="center" wrapText="1"/>
      <protection locked="0"/>
    </xf>
    <xf numFmtId="2" fontId="7" fillId="0" borderId="0" xfId="0" applyNumberFormat="1" applyFont="1" applyAlignment="1">
      <alignment wrapText="1"/>
    </xf>
    <xf numFmtId="2" fontId="29" fillId="0" borderId="0" xfId="0" applyNumberFormat="1" applyFont="1" applyAlignment="1">
      <alignment wrapText="1"/>
    </xf>
    <xf numFmtId="0" fontId="10" fillId="0" borderId="0" xfId="0" applyFont="1" applyAlignment="1" applyProtection="1">
      <alignment horizontal="left" vertical="center" wrapText="1" indent="1"/>
      <protection locked="0"/>
    </xf>
    <xf numFmtId="1" fontId="3" fillId="0" borderId="0" xfId="0" applyNumberFormat="1" applyFont="1" applyAlignment="1" applyProtection="1">
      <alignment wrapText="1"/>
      <protection locked="0"/>
    </xf>
    <xf numFmtId="0" fontId="32" fillId="4" borderId="10" xfId="0" applyFont="1" applyFill="1" applyBorder="1" applyAlignment="1" applyProtection="1">
      <alignment horizontal="left" vertical="center" wrapText="1" indent="1"/>
      <protection locked="0"/>
    </xf>
    <xf numFmtId="1" fontId="7" fillId="4" borderId="10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10" xfId="0" applyNumberFormat="1" applyFont="1" applyFill="1" applyBorder="1" applyAlignment="1" applyProtection="1">
      <alignment horizontal="center" vertical="center" wrapText="1"/>
      <protection locked="0"/>
    </xf>
    <xf numFmtId="2" fontId="7" fillId="4" borderId="10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 indent="1"/>
    </xf>
    <xf numFmtId="0" fontId="3" fillId="3" borderId="0" xfId="0" applyFont="1" applyFill="1" applyAlignment="1">
      <alignment wrapText="1"/>
    </xf>
    <xf numFmtId="0" fontId="3" fillId="3" borderId="6" xfId="0" applyFont="1" applyFill="1" applyBorder="1" applyAlignment="1">
      <alignment horizontal="left" vertical="center" wrapText="1" indent="1"/>
    </xf>
    <xf numFmtId="2" fontId="3" fillId="3" borderId="0" xfId="0" applyNumberFormat="1" applyFont="1" applyFill="1" applyAlignment="1">
      <alignment wrapText="1"/>
    </xf>
    <xf numFmtId="0" fontId="3" fillId="3" borderId="6" xfId="0" applyFont="1" applyFill="1" applyBorder="1" applyAlignment="1">
      <alignment wrapText="1"/>
    </xf>
    <xf numFmtId="2" fontId="3" fillId="0" borderId="0" xfId="0" applyNumberFormat="1" applyFont="1" applyAlignment="1">
      <alignment wrapText="1"/>
    </xf>
    <xf numFmtId="0" fontId="33" fillId="0" borderId="0" xfId="0" applyFont="1" applyAlignment="1">
      <alignment horizontal="left" vertical="center" indent="1"/>
    </xf>
    <xf numFmtId="0" fontId="7" fillId="4" borderId="10" xfId="0" applyFont="1" applyFill="1" applyBorder="1" applyAlignment="1">
      <alignment horizontal="center" wrapText="1"/>
    </xf>
    <xf numFmtId="0" fontId="7" fillId="4" borderId="15" xfId="0" applyFont="1" applyFill="1" applyBorder="1" applyAlignment="1">
      <alignment horizontal="left" vertical="center" wrapText="1" indent="1"/>
    </xf>
    <xf numFmtId="0" fontId="34" fillId="0" borderId="0" xfId="0" applyFont="1"/>
    <xf numFmtId="0" fontId="15" fillId="0" borderId="10" xfId="0" applyFont="1" applyBorder="1" applyAlignment="1">
      <alignment horizontal="left" vertical="center" wrapText="1" indent="1"/>
    </xf>
    <xf numFmtId="0" fontId="35" fillId="0" borderId="10" xfId="0" applyFont="1" applyBorder="1" applyAlignment="1">
      <alignment horizontal="right" vertical="center" indent="1"/>
    </xf>
    <xf numFmtId="0" fontId="3" fillId="0" borderId="12" xfId="0" applyFont="1" applyBorder="1" applyAlignment="1">
      <alignment horizontal="left" vertical="center" wrapText="1" indent="1"/>
    </xf>
    <xf numFmtId="0" fontId="35" fillId="0" borderId="10" xfId="0" applyFont="1" applyBorder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36" fillId="0" borderId="10" xfId="0" applyFont="1" applyBorder="1" applyAlignment="1">
      <alignment horizontal="right" vertical="center" indent="1"/>
    </xf>
    <xf numFmtId="0" fontId="27" fillId="0" borderId="10" xfId="0" applyFont="1" applyBorder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2" fontId="15" fillId="0" borderId="10" xfId="0" applyNumberFormat="1" applyFont="1" applyBorder="1" applyAlignment="1">
      <alignment horizontal="right" vertical="center" wrapText="1" indent="1"/>
    </xf>
    <xf numFmtId="0" fontId="15" fillId="0" borderId="12" xfId="0" applyFont="1" applyBorder="1" applyAlignment="1">
      <alignment horizontal="left" vertical="center" wrapText="1" indent="1"/>
    </xf>
    <xf numFmtId="0" fontId="15" fillId="5" borderId="10" xfId="0" applyFont="1" applyFill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5" fillId="0" borderId="15" xfId="0" applyFont="1" applyBorder="1" applyAlignment="1">
      <alignment horizontal="right" vertical="center" indent="1"/>
    </xf>
    <xf numFmtId="0" fontId="15" fillId="0" borderId="1" xfId="0" applyFont="1" applyBorder="1" applyAlignment="1">
      <alignment horizontal="left" vertical="center" wrapText="1" indent="1"/>
    </xf>
    <xf numFmtId="2" fontId="36" fillId="0" borderId="15" xfId="0" applyNumberFormat="1" applyFont="1" applyBorder="1" applyAlignment="1">
      <alignment horizontal="right" vertical="center" wrapText="1" indent="1"/>
    </xf>
    <xf numFmtId="166" fontId="20" fillId="0" borderId="12" xfId="0" applyNumberFormat="1" applyFont="1" applyBorder="1" applyAlignment="1">
      <alignment horizontal="right" vertical="center" wrapText="1" indent="1"/>
    </xf>
    <xf numFmtId="0" fontId="7" fillId="0" borderId="0" xfId="0" applyFont="1" applyAlignment="1">
      <alignment horizontal="left" vertical="center" wrapText="1" indent="1"/>
    </xf>
    <xf numFmtId="2" fontId="36" fillId="0" borderId="10" xfId="0" applyNumberFormat="1" applyFont="1" applyBorder="1" applyAlignment="1">
      <alignment horizontal="right" vertical="center" wrapText="1" indent="1"/>
    </xf>
    <xf numFmtId="0" fontId="36" fillId="0" borderId="10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wrapText="1"/>
    </xf>
    <xf numFmtId="166" fontId="36" fillId="0" borderId="10" xfId="0" applyNumberFormat="1" applyFont="1" applyBorder="1" applyAlignment="1">
      <alignment horizontal="right" vertical="center" wrapText="1" indent="1"/>
    </xf>
    <xf numFmtId="0" fontId="37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8" fillId="3" borderId="1" xfId="0" applyFont="1" applyFill="1" applyBorder="1"/>
    <xf numFmtId="0" fontId="18" fillId="3" borderId="2" xfId="0" applyFont="1" applyFill="1" applyBorder="1"/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/>
    <xf numFmtId="0" fontId="20" fillId="3" borderId="6" xfId="0" applyFont="1" applyFill="1" applyBorder="1" applyAlignment="1">
      <alignment horizontal="left" vertical="center" indent="1"/>
    </xf>
    <xf numFmtId="0" fontId="18" fillId="3" borderId="0" xfId="0" applyFont="1" applyFill="1"/>
    <xf numFmtId="0" fontId="18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left" vertical="center" indent="1"/>
    </xf>
    <xf numFmtId="0" fontId="18" fillId="3" borderId="5" xfId="0" applyFont="1" applyFill="1" applyBorder="1"/>
    <xf numFmtId="0" fontId="3" fillId="3" borderId="6" xfId="0" applyFont="1" applyFill="1" applyBorder="1"/>
    <xf numFmtId="0" fontId="25" fillId="3" borderId="6" xfId="0" applyFont="1" applyFill="1" applyBorder="1" applyAlignment="1">
      <alignment horizontal="left" vertical="center" indent="1"/>
    </xf>
    <xf numFmtId="0" fontId="18" fillId="3" borderId="8" xfId="0" applyFont="1" applyFill="1" applyBorder="1"/>
    <xf numFmtId="0" fontId="18" fillId="3" borderId="8" xfId="0" applyFont="1" applyFill="1" applyBorder="1" applyAlignment="1">
      <alignment horizontal="center" vertical="center"/>
    </xf>
    <xf numFmtId="0" fontId="18" fillId="3" borderId="9" xfId="0" applyFont="1" applyFill="1" applyBorder="1"/>
    <xf numFmtId="0" fontId="18" fillId="0" borderId="0" xfId="0" applyFont="1" applyAlignment="1">
      <alignment horizontal="left" vertical="center" indent="1"/>
    </xf>
    <xf numFmtId="0" fontId="17" fillId="0" borderId="0" xfId="0" applyFont="1" applyAlignment="1">
      <alignment vertical="center"/>
    </xf>
    <xf numFmtId="0" fontId="7" fillId="3" borderId="10" xfId="0" applyFont="1" applyFill="1" applyBorder="1" applyAlignment="1">
      <alignment horizontal="left" vertical="center" wrapText="1" inden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right" vertical="center" wrapText="1" inden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right" vertical="center" indent="1"/>
    </xf>
    <xf numFmtId="0" fontId="3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 indent="1"/>
    </xf>
    <xf numFmtId="2" fontId="3" fillId="6" borderId="15" xfId="0" applyNumberFormat="1" applyFont="1" applyFill="1" applyBorder="1" applyAlignment="1" applyProtection="1">
      <alignment horizontal="center" vertical="center"/>
      <protection locked="0"/>
    </xf>
    <xf numFmtId="1" fontId="3" fillId="0" borderId="10" xfId="0" applyNumberFormat="1" applyFont="1" applyBorder="1" applyAlignment="1">
      <alignment horizontal="right" vertical="center" indent="1"/>
    </xf>
    <xf numFmtId="1" fontId="3" fillId="0" borderId="10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right" vertical="center" indent="1"/>
    </xf>
    <xf numFmtId="2" fontId="3" fillId="6" borderId="11" xfId="0" applyNumberFormat="1" applyFont="1" applyFill="1" applyBorder="1" applyAlignment="1" applyProtection="1">
      <alignment horizontal="center" vertical="center"/>
      <protection locked="0"/>
    </xf>
    <xf numFmtId="1" fontId="15" fillId="0" borderId="10" xfId="0" applyNumberFormat="1" applyFont="1" applyBorder="1" applyAlignment="1">
      <alignment horizontal="right" vertical="center" indent="1"/>
    </xf>
    <xf numFmtId="1" fontId="3" fillId="0" borderId="12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 applyProtection="1">
      <alignment horizontal="left" vertical="center" wrapText="1" indent="1"/>
      <protection locked="0"/>
    </xf>
    <xf numFmtId="0" fontId="7" fillId="8" borderId="10" xfId="0" applyFont="1" applyFill="1" applyBorder="1" applyAlignment="1">
      <alignment horizontal="left" vertical="center" wrapText="1" indent="1"/>
    </xf>
    <xf numFmtId="166" fontId="7" fillId="8" borderId="10" xfId="0" applyNumberFormat="1" applyFont="1" applyFill="1" applyBorder="1" applyAlignment="1">
      <alignment horizontal="right" vertical="center" wrapText="1" indent="1"/>
    </xf>
    <xf numFmtId="0" fontId="7" fillId="8" borderId="10" xfId="0" applyFont="1" applyFill="1" applyBorder="1" applyAlignment="1">
      <alignment horizontal="center" vertical="center" wrapText="1"/>
    </xf>
    <xf numFmtId="1" fontId="7" fillId="8" borderId="12" xfId="0" applyNumberFormat="1" applyFont="1" applyFill="1" applyBorder="1" applyAlignment="1">
      <alignment horizontal="center" vertical="center" wrapText="1"/>
    </xf>
    <xf numFmtId="2" fontId="7" fillId="8" borderId="12" xfId="0" applyNumberFormat="1" applyFont="1" applyFill="1" applyBorder="1" applyAlignment="1" applyProtection="1">
      <alignment horizontal="left" vertical="center" wrapText="1" indent="1"/>
      <protection locked="0"/>
    </xf>
    <xf numFmtId="2" fontId="7" fillId="8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3" fillId="0" borderId="10" xfId="0" applyNumberFormat="1" applyFont="1" applyBorder="1" applyAlignment="1">
      <alignment horizontal="right" vertical="center" indent="1"/>
    </xf>
    <xf numFmtId="0" fontId="3" fillId="0" borderId="4" xfId="0" applyFont="1" applyBorder="1" applyAlignment="1" applyProtection="1">
      <alignment horizontal="left" vertical="center" wrapText="1" indent="1"/>
      <protection locked="0"/>
    </xf>
    <xf numFmtId="0" fontId="15" fillId="0" borderId="10" xfId="0" applyFont="1" applyBorder="1" applyAlignment="1">
      <alignment horizontal="left" vertical="center" indent="1"/>
    </xf>
    <xf numFmtId="2" fontId="3" fillId="6" borderId="3" xfId="0" applyNumberFormat="1" applyFont="1" applyFill="1" applyBorder="1" applyAlignment="1" applyProtection="1">
      <alignment horizontal="center" vertical="center"/>
      <protection locked="0"/>
    </xf>
    <xf numFmtId="166" fontId="3" fillId="6" borderId="15" xfId="0" applyNumberFormat="1" applyFont="1" applyFill="1" applyBorder="1" applyAlignment="1">
      <alignment horizontal="right" vertical="center" indent="1"/>
    </xf>
    <xf numFmtId="1" fontId="3" fillId="0" borderId="1" xfId="0" applyNumberFormat="1" applyFont="1" applyBorder="1" applyAlignment="1">
      <alignment horizontal="center" vertical="center"/>
    </xf>
    <xf numFmtId="2" fontId="3" fillId="6" borderId="10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18" fillId="0" borderId="10" xfId="0" applyFont="1" applyBorder="1"/>
    <xf numFmtId="0" fontId="15" fillId="0" borderId="11" xfId="0" applyFont="1" applyBorder="1" applyAlignment="1">
      <alignment horizontal="left" vertical="center" indent="1"/>
    </xf>
    <xf numFmtId="2" fontId="3" fillId="6" borderId="11" xfId="0" applyNumberFormat="1" applyFont="1" applyFill="1" applyBorder="1" applyAlignment="1">
      <alignment horizontal="center" vertical="center"/>
    </xf>
    <xf numFmtId="166" fontId="3" fillId="6" borderId="1" xfId="0" applyNumberFormat="1" applyFont="1" applyFill="1" applyBorder="1" applyAlignment="1">
      <alignment horizontal="right" vertical="center" indent="1"/>
    </xf>
    <xf numFmtId="0" fontId="7" fillId="8" borderId="10" xfId="0" applyFont="1" applyFill="1" applyBorder="1" applyAlignment="1" applyProtection="1">
      <alignment horizontal="center" vertical="center" wrapText="1"/>
      <protection locked="0"/>
    </xf>
    <xf numFmtId="2" fontId="7" fillId="8" borderId="7" xfId="0" applyNumberFormat="1" applyFont="1" applyFill="1" applyBorder="1" applyAlignment="1" applyProtection="1">
      <alignment horizontal="left" vertical="center" wrapText="1" indent="1"/>
      <protection locked="0"/>
    </xf>
    <xf numFmtId="0" fontId="7" fillId="4" borderId="10" xfId="0" applyFont="1" applyFill="1" applyBorder="1" applyAlignment="1" applyProtection="1">
      <alignment horizontal="center" vertical="center"/>
      <protection locked="0"/>
    </xf>
    <xf numFmtId="166" fontId="3" fillId="4" borderId="10" xfId="0" applyNumberFormat="1" applyFont="1" applyFill="1" applyBorder="1" applyAlignment="1">
      <alignment horizontal="right" vertical="center" indent="1"/>
    </xf>
    <xf numFmtId="0" fontId="3" fillId="4" borderId="1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 applyProtection="1">
      <alignment horizontal="left" vertical="center" wrapText="1" indent="1"/>
      <protection locked="0"/>
    </xf>
    <xf numFmtId="0" fontId="15" fillId="4" borderId="11" xfId="0" applyFont="1" applyFill="1" applyBorder="1" applyAlignment="1" applyProtection="1">
      <alignment horizontal="left" vertical="center" wrapText="1" indent="1"/>
      <protection locked="0"/>
    </xf>
    <xf numFmtId="1" fontId="3" fillId="6" borderId="10" xfId="0" applyNumberFormat="1" applyFont="1" applyFill="1" applyBorder="1" applyAlignment="1" applyProtection="1">
      <alignment horizontal="center" vertical="center"/>
      <protection locked="0"/>
    </xf>
    <xf numFmtId="1" fontId="3" fillId="7" borderId="12" xfId="0" applyNumberFormat="1" applyFont="1" applyFill="1" applyBorder="1" applyAlignment="1">
      <alignment horizontal="center" vertical="center"/>
    </xf>
    <xf numFmtId="166" fontId="3" fillId="6" borderId="10" xfId="0" applyNumberFormat="1" applyFont="1" applyFill="1" applyBorder="1" applyAlignment="1">
      <alignment horizontal="right" vertical="center" indent="1"/>
    </xf>
    <xf numFmtId="0" fontId="38" fillId="0" borderId="0" xfId="0" applyFont="1"/>
    <xf numFmtId="0" fontId="15" fillId="0" borderId="15" xfId="0" applyFont="1" applyBorder="1" applyAlignment="1" applyProtection="1">
      <alignment horizontal="left" vertical="center" wrapText="1" indent="1"/>
      <protection locked="0"/>
    </xf>
    <xf numFmtId="0" fontId="28" fillId="0" borderId="0" xfId="0" applyFont="1"/>
    <xf numFmtId="0" fontId="7" fillId="4" borderId="12" xfId="0" applyFont="1" applyFill="1" applyBorder="1" applyAlignment="1" applyProtection="1">
      <alignment horizontal="left" vertical="center" wrapText="1" indent="1"/>
      <protection locked="0"/>
    </xf>
    <xf numFmtId="0" fontId="7" fillId="4" borderId="10" xfId="0" applyFont="1" applyFill="1" applyBorder="1" applyAlignment="1" applyProtection="1">
      <alignment horizontal="left" vertical="center" wrapText="1" indent="1"/>
      <protection locked="0"/>
    </xf>
    <xf numFmtId="0" fontId="12" fillId="0" borderId="0" xfId="0" applyFont="1"/>
    <xf numFmtId="164" fontId="3" fillId="0" borderId="10" xfId="0" applyNumberFormat="1" applyFont="1" applyBorder="1" applyAlignment="1">
      <alignment horizontal="right" vertical="center" indent="1"/>
    </xf>
    <xf numFmtId="2" fontId="3" fillId="0" borderId="10" xfId="0" applyNumberFormat="1" applyFont="1" applyBorder="1" applyAlignment="1" applyProtection="1">
      <alignment horizontal="center" vertical="center"/>
      <protection locked="0"/>
    </xf>
    <xf numFmtId="0" fontId="3" fillId="8" borderId="10" xfId="0" applyFont="1" applyFill="1" applyBorder="1" applyAlignment="1" applyProtection="1">
      <alignment horizontal="left" vertical="center" wrapText="1" indent="1"/>
      <protection locked="0"/>
    </xf>
    <xf numFmtId="0" fontId="3" fillId="4" borderId="1" xfId="0" applyFont="1" applyFill="1" applyBorder="1" applyAlignment="1">
      <alignment horizontal="center" vertical="center"/>
    </xf>
    <xf numFmtId="0" fontId="3" fillId="4" borderId="11" xfId="0" applyFont="1" applyFill="1" applyBorder="1" applyAlignment="1" applyProtection="1">
      <alignment horizontal="left" vertical="center" wrapText="1" indent="1"/>
      <protection locked="0"/>
    </xf>
    <xf numFmtId="166" fontId="15" fillId="0" borderId="10" xfId="0" applyNumberFormat="1" applyFont="1" applyBorder="1" applyAlignment="1">
      <alignment horizontal="right" vertical="center" indent="1"/>
    </xf>
    <xf numFmtId="0" fontId="3" fillId="7" borderId="10" xfId="0" applyFont="1" applyFill="1" applyBorder="1" applyAlignment="1">
      <alignment horizontal="center" vertical="center"/>
    </xf>
    <xf numFmtId="166" fontId="20" fillId="0" borderId="10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right" vertical="center" wrapText="1" indent="1"/>
    </xf>
    <xf numFmtId="0" fontId="20" fillId="0" borderId="0" xfId="0" applyFont="1"/>
    <xf numFmtId="0" fontId="3" fillId="4" borderId="10" xfId="0" applyFont="1" applyFill="1" applyBorder="1" applyAlignment="1">
      <alignment horizontal="right" vertical="center" indent="1"/>
    </xf>
    <xf numFmtId="0" fontId="3" fillId="0" borderId="10" xfId="0" applyFont="1" applyBorder="1" applyAlignment="1">
      <alignment horizontal="right" vertical="center" indent="1"/>
    </xf>
    <xf numFmtId="0" fontId="3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inden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right" vertical="center" wrapText="1" indent="1"/>
    </xf>
    <xf numFmtId="0" fontId="21" fillId="0" borderId="10" xfId="0" applyFont="1" applyBorder="1" applyAlignment="1">
      <alignment horizontal="center" vertical="center"/>
    </xf>
    <xf numFmtId="1" fontId="3" fillId="7" borderId="1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166" fontId="3" fillId="5" borderId="10" xfId="0" applyNumberFormat="1" applyFont="1" applyFill="1" applyBorder="1" applyAlignment="1">
      <alignment horizontal="right" vertical="center" indent="1"/>
    </xf>
    <xf numFmtId="0" fontId="15" fillId="0" borderId="4" xfId="0" applyFont="1" applyBorder="1" applyAlignment="1" applyProtection="1">
      <alignment horizontal="left" vertical="center" wrapText="1" indent="1"/>
      <protection locked="0"/>
    </xf>
    <xf numFmtId="166" fontId="3" fillId="0" borderId="15" xfId="0" applyNumberFormat="1" applyFont="1" applyBorder="1" applyAlignment="1">
      <alignment horizontal="right" vertical="center" indent="1"/>
    </xf>
    <xf numFmtId="0" fontId="15" fillId="0" borderId="15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vertical="center" wrapText="1"/>
    </xf>
    <xf numFmtId="1" fontId="7" fillId="8" borderId="10" xfId="0" applyNumberFormat="1" applyFont="1" applyFill="1" applyBorder="1" applyAlignment="1">
      <alignment horizontal="center" vertical="center" wrapText="1"/>
    </xf>
    <xf numFmtId="2" fontId="7" fillId="8" borderId="10" xfId="0" applyNumberFormat="1" applyFont="1" applyFill="1" applyBorder="1" applyAlignment="1">
      <alignment horizontal="left" vertical="center" wrapText="1" indent="1"/>
    </xf>
    <xf numFmtId="0" fontId="7" fillId="8" borderId="10" xfId="0" applyFont="1" applyFill="1" applyBorder="1"/>
    <xf numFmtId="0" fontId="7" fillId="8" borderId="14" xfId="0" applyFont="1" applyFill="1" applyBorder="1"/>
    <xf numFmtId="1" fontId="7" fillId="8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7" fillId="4" borderId="10" xfId="0" applyFont="1" applyFill="1" applyBorder="1" applyAlignment="1">
      <alignment horizontal="right" vertical="center" indent="1"/>
    </xf>
    <xf numFmtId="0" fontId="15" fillId="0" borderId="12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15" fillId="5" borderId="1" xfId="0" applyFont="1" applyFill="1" applyBorder="1" applyAlignment="1">
      <alignment horizontal="left" vertical="center" indent="1"/>
    </xf>
    <xf numFmtId="0" fontId="36" fillId="0" borderId="15" xfId="0" applyFont="1" applyBorder="1" applyAlignment="1">
      <alignment horizontal="right" vertical="center" indent="1"/>
    </xf>
    <xf numFmtId="0" fontId="15" fillId="0" borderId="1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2" fontId="36" fillId="0" borderId="10" xfId="0" applyNumberFormat="1" applyFont="1" applyBorder="1" applyAlignment="1">
      <alignment horizontal="right" vertical="center" indent="1"/>
    </xf>
    <xf numFmtId="0" fontId="20" fillId="0" borderId="12" xfId="0" applyFont="1" applyBorder="1" applyAlignment="1">
      <alignment horizontal="left" vertical="center" indent="1"/>
    </xf>
    <xf numFmtId="170" fontId="3" fillId="0" borderId="10" xfId="0" applyNumberFormat="1" applyFont="1" applyBorder="1" applyAlignment="1">
      <alignment horizontal="left" vertical="center" wrapText="1" indent="1"/>
    </xf>
    <xf numFmtId="2" fontId="3" fillId="0" borderId="0" xfId="0" applyNumberFormat="1" applyFont="1" applyAlignment="1">
      <alignment horizontal="right" vertical="center" indent="1"/>
    </xf>
    <xf numFmtId="0" fontId="18" fillId="0" borderId="0" xfId="0" applyFont="1" applyAlignment="1">
      <alignment horizontal="center"/>
    </xf>
    <xf numFmtId="2" fontId="15" fillId="0" borderId="10" xfId="0" applyNumberFormat="1" applyFont="1" applyBorder="1" applyAlignment="1">
      <alignment horizontal="right" vertical="center" indent="1"/>
    </xf>
    <xf numFmtId="0" fontId="15" fillId="0" borderId="13" xfId="0" applyFont="1" applyBorder="1" applyAlignment="1">
      <alignment horizontal="left" vertical="center" wrapText="1" indent="1"/>
    </xf>
    <xf numFmtId="0" fontId="15" fillId="0" borderId="14" xfId="0" applyFont="1" applyBorder="1" applyAlignment="1">
      <alignment horizontal="left" vertical="center" wrapText="1" indent="1"/>
    </xf>
    <xf numFmtId="0" fontId="39" fillId="0" borderId="0" xfId="0" applyFont="1"/>
    <xf numFmtId="171" fontId="15" fillId="0" borderId="10" xfId="0" applyNumberFormat="1" applyFont="1" applyBorder="1" applyAlignment="1">
      <alignment horizontal="right" vertical="center" indent="1"/>
    </xf>
    <xf numFmtId="0" fontId="10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166" fontId="20" fillId="0" borderId="10" xfId="4" applyNumberFormat="1" applyFont="1" applyFill="1" applyBorder="1" applyAlignment="1">
      <alignment horizontal="right" vertical="center" indent="1"/>
    </xf>
    <xf numFmtId="166" fontId="20" fillId="0" borderId="12" xfId="0" applyNumberFormat="1" applyFont="1" applyBorder="1" applyAlignment="1">
      <alignment horizontal="right" vertical="center" indent="1"/>
    </xf>
    <xf numFmtId="166" fontId="20" fillId="5" borderId="10" xfId="4" applyNumberFormat="1" applyFont="1" applyFill="1" applyBorder="1" applyAlignment="1">
      <alignment horizontal="right" vertical="center" indent="1"/>
    </xf>
    <xf numFmtId="0" fontId="20" fillId="5" borderId="13" xfId="0" applyFont="1" applyFill="1" applyBorder="1" applyAlignment="1">
      <alignment horizontal="left" vertical="center" indent="1"/>
    </xf>
    <xf numFmtId="0" fontId="20" fillId="0" borderId="4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right" vertical="center" indent="1"/>
    </xf>
    <xf numFmtId="0" fontId="7" fillId="4" borderId="12" xfId="0" applyFont="1" applyFill="1" applyBorder="1" applyAlignment="1">
      <alignment horizontal="left" vertical="center" indent="1"/>
    </xf>
    <xf numFmtId="0" fontId="41" fillId="0" borderId="0" xfId="0" applyFont="1" applyAlignment="1">
      <alignment horizontal="left" vertical="top" wrapText="1"/>
    </xf>
    <xf numFmtId="0" fontId="20" fillId="0" borderId="1" xfId="0" applyFont="1" applyBorder="1" applyAlignment="1">
      <alignment horizontal="left" vertical="center" indent="1"/>
    </xf>
    <xf numFmtId="0" fontId="32" fillId="4" borderId="10" xfId="0" applyFont="1" applyFill="1" applyBorder="1" applyAlignment="1">
      <alignment horizontal="left" vertical="center" wrapText="1" indent="1"/>
    </xf>
    <xf numFmtId="0" fontId="15" fillId="4" borderId="10" xfId="0" applyFont="1" applyFill="1" applyBorder="1" applyAlignment="1">
      <alignment horizontal="right" vertical="center" indent="1"/>
    </xf>
    <xf numFmtId="0" fontId="15" fillId="4" borderId="12" xfId="0" applyFont="1" applyFill="1" applyBorder="1" applyAlignment="1">
      <alignment horizontal="left" vertical="center" indent="1"/>
    </xf>
    <xf numFmtId="11" fontId="15" fillId="0" borderId="0" xfId="4" applyNumberFormat="1" applyFont="1" applyFill="1" applyAlignment="1">
      <alignment horizontal="center"/>
    </xf>
    <xf numFmtId="0" fontId="15" fillId="0" borderId="0" xfId="4" applyFont="1" applyFill="1" applyAlignment="1">
      <alignment horizontal="center"/>
    </xf>
    <xf numFmtId="0" fontId="3" fillId="4" borderId="12" xfId="0" applyFont="1" applyFill="1" applyBorder="1" applyAlignment="1">
      <alignment horizontal="left" vertical="center" indent="1"/>
    </xf>
    <xf numFmtId="0" fontId="8" fillId="3" borderId="2" xfId="0" applyFont="1" applyFill="1" applyBorder="1"/>
    <xf numFmtId="0" fontId="3" fillId="0" borderId="6" xfId="0" applyFont="1" applyBorder="1"/>
    <xf numFmtId="0" fontId="3" fillId="3" borderId="0" xfId="0" applyFont="1" applyFill="1" applyAlignment="1">
      <alignment horizontal="left" vertical="center" indent="1"/>
    </xf>
    <xf numFmtId="0" fontId="15" fillId="3" borderId="0" xfId="0" applyFont="1" applyFill="1" applyAlignment="1">
      <alignment horizontal="left" vertical="center" indent="1"/>
    </xf>
    <xf numFmtId="0" fontId="18" fillId="3" borderId="8" xfId="0" applyFont="1" applyFill="1" applyBorder="1" applyAlignment="1">
      <alignment horizontal="left" vertical="center" indent="1"/>
    </xf>
    <xf numFmtId="1" fontId="20" fillId="7" borderId="12" xfId="0" applyNumberFormat="1" applyFont="1" applyFill="1" applyBorder="1" applyAlignment="1">
      <alignment horizontal="center" vertical="center" wrapText="1"/>
    </xf>
    <xf numFmtId="167" fontId="20" fillId="0" borderId="10" xfId="0" applyNumberFormat="1" applyFont="1" applyBorder="1" applyAlignment="1">
      <alignment horizontal="center" vertical="center" wrapText="1"/>
    </xf>
    <xf numFmtId="1" fontId="20" fillId="7" borderId="12" xfId="0" applyNumberFormat="1" applyFont="1" applyFill="1" applyBorder="1" applyAlignment="1">
      <alignment horizontal="center" vertical="center"/>
    </xf>
    <xf numFmtId="167" fontId="20" fillId="0" borderId="10" xfId="0" applyNumberFormat="1" applyFont="1" applyBorder="1" applyAlignment="1">
      <alignment horizontal="center" vertical="center"/>
    </xf>
    <xf numFmtId="1" fontId="20" fillId="7" borderId="1" xfId="0" applyNumberFormat="1" applyFont="1" applyFill="1" applyBorder="1" applyAlignment="1">
      <alignment horizontal="center" vertical="center"/>
    </xf>
    <xf numFmtId="167" fontId="20" fillId="0" borderId="15" xfId="0" applyNumberFormat="1" applyFont="1" applyBorder="1" applyAlignment="1">
      <alignment horizontal="center" vertical="center"/>
    </xf>
    <xf numFmtId="1" fontId="20" fillId="7" borderId="10" xfId="0" applyNumberFormat="1" applyFont="1" applyFill="1" applyBorder="1" applyAlignment="1">
      <alignment horizontal="center" vertical="center"/>
    </xf>
    <xf numFmtId="167" fontId="7" fillId="8" borderId="10" xfId="0" applyNumberFormat="1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left" vertical="center" indent="1"/>
    </xf>
    <xf numFmtId="2" fontId="12" fillId="8" borderId="1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 indent="1"/>
    </xf>
    <xf numFmtId="0" fontId="15" fillId="3" borderId="6" xfId="0" applyFont="1" applyFill="1" applyBorder="1" applyAlignment="1">
      <alignment horizontal="left" vertical="center" indent="1"/>
    </xf>
    <xf numFmtId="0" fontId="42" fillId="3" borderId="0" xfId="0" applyFont="1" applyFill="1" applyAlignment="1">
      <alignment vertical="center" wrapText="1"/>
    </xf>
    <xf numFmtId="0" fontId="28" fillId="3" borderId="7" xfId="0" applyFont="1" applyFill="1" applyBorder="1" applyAlignment="1">
      <alignment horizontal="left" vertical="center" indent="1"/>
    </xf>
    <xf numFmtId="0" fontId="42" fillId="3" borderId="8" xfId="0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42" fillId="0" borderId="0" xfId="0" applyFont="1" applyAlignment="1">
      <alignment vertical="center" wrapText="1"/>
    </xf>
    <xf numFmtId="0" fontId="28" fillId="3" borderId="1" xfId="0" applyFont="1" applyFill="1" applyBorder="1" applyAlignment="1">
      <alignment vertical="center"/>
    </xf>
    <xf numFmtId="0" fontId="42" fillId="3" borderId="2" xfId="0" applyFont="1" applyFill="1" applyBorder="1" applyAlignment="1">
      <alignment vertical="center" wrapText="1"/>
    </xf>
    <xf numFmtId="0" fontId="19" fillId="4" borderId="10" xfId="0" applyFont="1" applyFill="1" applyBorder="1" applyAlignment="1">
      <alignment horizontal="center" vertical="center" wrapText="1"/>
    </xf>
    <xf numFmtId="2" fontId="3" fillId="7" borderId="12" xfId="0" applyNumberFormat="1" applyFont="1" applyFill="1" applyBorder="1" applyAlignment="1">
      <alignment horizontal="center" vertical="center" wrapText="1"/>
    </xf>
    <xf numFmtId="1" fontId="3" fillId="7" borderId="12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Border="1" applyAlignment="1" applyProtection="1">
      <alignment horizontal="left" vertical="center" wrapText="1" indent="1"/>
      <protection locked="0"/>
    </xf>
    <xf numFmtId="2" fontId="3" fillId="6" borderId="0" xfId="0" applyNumberFormat="1" applyFont="1" applyFill="1" applyAlignment="1" applyProtection="1">
      <alignment horizontal="center" vertical="center" wrapText="1"/>
      <protection locked="0"/>
    </xf>
    <xf numFmtId="2" fontId="3" fillId="7" borderId="0" xfId="0" applyNumberFormat="1" applyFont="1" applyFill="1" applyAlignment="1">
      <alignment horizontal="center" vertical="center" wrapText="1"/>
    </xf>
    <xf numFmtId="1" fontId="3" fillId="7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Alignment="1" applyProtection="1">
      <alignment horizontal="left" vertical="center" wrapText="1" indent="1"/>
      <protection locked="0"/>
    </xf>
    <xf numFmtId="0" fontId="7" fillId="4" borderId="1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Font="1"/>
    <xf numFmtId="0" fontId="12" fillId="3" borderId="5" xfId="0" applyFont="1" applyFill="1" applyBorder="1" applyAlignment="1">
      <alignment horizontal="left" wrapText="1"/>
    </xf>
    <xf numFmtId="0" fontId="45" fillId="3" borderId="7" xfId="0" applyFont="1" applyFill="1" applyBorder="1" applyAlignment="1">
      <alignment horizontal="left" vertical="center" indent="1"/>
    </xf>
    <xf numFmtId="0" fontId="12" fillId="3" borderId="9" xfId="0" applyFont="1" applyFill="1" applyBorder="1" applyAlignment="1">
      <alignment horizontal="left" wrapText="1"/>
    </xf>
    <xf numFmtId="0" fontId="7" fillId="4" borderId="15" xfId="0" applyFont="1" applyFill="1" applyBorder="1" applyAlignment="1">
      <alignment horizontal="left" vertical="center" indent="1"/>
    </xf>
    <xf numFmtId="0" fontId="7" fillId="4" borderId="15" xfId="0" applyFont="1" applyFill="1" applyBorder="1" applyAlignment="1">
      <alignment horizontal="center" vertical="center"/>
    </xf>
    <xf numFmtId="2" fontId="15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12" xfId="0" applyFont="1" applyFill="1" applyBorder="1" applyAlignment="1">
      <alignment horizontal="left" vertical="center" wrapText="1" indent="1"/>
    </xf>
    <xf numFmtId="2" fontId="7" fillId="8" borderId="10" xfId="1" applyNumberFormat="1" applyFont="1" applyFill="1" applyBorder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15" fillId="7" borderId="10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2" fontId="3" fillId="7" borderId="11" xfId="0" applyNumberFormat="1" applyFont="1" applyFill="1" applyBorder="1" applyAlignment="1">
      <alignment horizontal="center" vertical="center" wrapText="1"/>
    </xf>
    <xf numFmtId="165" fontId="3" fillId="7" borderId="10" xfId="0" applyNumberFormat="1" applyFont="1" applyFill="1" applyBorder="1" applyAlignment="1">
      <alignment horizontal="center" vertical="center"/>
    </xf>
    <xf numFmtId="0" fontId="25" fillId="0" borderId="0" xfId="0" applyFont="1"/>
    <xf numFmtId="0" fontId="39" fillId="3" borderId="1" xfId="0" applyFont="1" applyFill="1" applyBorder="1" applyAlignment="1">
      <alignment horizontal="left"/>
    </xf>
    <xf numFmtId="0" fontId="18" fillId="3" borderId="2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0" fillId="3" borderId="0" xfId="0" applyFont="1" applyFill="1"/>
    <xf numFmtId="0" fontId="3" fillId="3" borderId="8" xfId="0" applyFont="1" applyFill="1" applyBorder="1" applyAlignment="1">
      <alignment vertical="center"/>
    </xf>
    <xf numFmtId="0" fontId="10" fillId="3" borderId="8" xfId="0" applyFont="1" applyFill="1" applyBorder="1"/>
    <xf numFmtId="0" fontId="16" fillId="4" borderId="1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 indent="1"/>
    </xf>
    <xf numFmtId="49" fontId="3" fillId="0" borderId="10" xfId="0" applyNumberFormat="1" applyFont="1" applyBorder="1" applyAlignment="1">
      <alignment horizontal="left" vertical="center" indent="1"/>
    </xf>
    <xf numFmtId="1" fontId="15" fillId="6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0" applyNumberFormat="1" applyFont="1" applyBorder="1" applyAlignment="1">
      <alignment horizontal="left" vertical="center" wrapText="1" indent="1"/>
    </xf>
    <xf numFmtId="1" fontId="7" fillId="8" borderId="8" xfId="0" applyNumberFormat="1" applyFont="1" applyFill="1" applyBorder="1" applyAlignment="1">
      <alignment horizontal="center" vertical="center"/>
    </xf>
    <xf numFmtId="1" fontId="7" fillId="8" borderId="11" xfId="0" applyNumberFormat="1" applyFont="1" applyFill="1" applyBorder="1" applyAlignment="1">
      <alignment horizontal="center" vertical="center"/>
    </xf>
    <xf numFmtId="0" fontId="46" fillId="0" borderId="0" xfId="0" applyFont="1"/>
    <xf numFmtId="0" fontId="47" fillId="0" borderId="0" xfId="0" applyFont="1"/>
    <xf numFmtId="0" fontId="16" fillId="0" borderId="0" xfId="0" applyFont="1" applyAlignment="1">
      <alignment horizontal="left" vertical="center" wrapText="1" indent="1"/>
    </xf>
    <xf numFmtId="0" fontId="44" fillId="0" borderId="0" xfId="0" applyFont="1" applyAlignment="1">
      <alignment horizontal="left" wrapText="1"/>
    </xf>
    <xf numFmtId="0" fontId="44" fillId="3" borderId="3" xfId="0" applyFont="1" applyFill="1" applyBorder="1" applyAlignment="1">
      <alignment horizontal="left" wrapText="1"/>
    </xf>
    <xf numFmtId="0" fontId="44" fillId="3" borderId="5" xfId="0" applyFont="1" applyFill="1" applyBorder="1" applyAlignment="1">
      <alignment horizontal="left" wrapText="1"/>
    </xf>
    <xf numFmtId="0" fontId="44" fillId="3" borderId="9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7" fillId="4" borderId="14" xfId="0" applyFont="1" applyFill="1" applyBorder="1" applyAlignment="1">
      <alignment horizontal="left" vertical="center" wrapText="1" indent="1"/>
    </xf>
    <xf numFmtId="0" fontId="3" fillId="0" borderId="11" xfId="0" applyFont="1" applyBorder="1" applyAlignment="1" applyProtection="1">
      <alignment horizontal="left" vertical="center" wrapText="1" indent="1"/>
      <protection locked="0"/>
    </xf>
    <xf numFmtId="2" fontId="3" fillId="0" borderId="10" xfId="0" applyNumberFormat="1" applyFont="1" applyBorder="1" applyAlignment="1">
      <alignment horizontal="left" vertical="center" indent="1"/>
    </xf>
    <xf numFmtId="0" fontId="7" fillId="8" borderId="0" xfId="0" applyFont="1" applyFill="1" applyAlignment="1">
      <alignment horizontal="left" vertical="center" wrapText="1" indent="1"/>
    </xf>
    <xf numFmtId="2" fontId="7" fillId="8" borderId="11" xfId="0" applyNumberFormat="1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 applyProtection="1">
      <alignment horizontal="center" vertical="center" wrapText="1"/>
      <protection locked="0"/>
    </xf>
    <xf numFmtId="2" fontId="7" fillId="8" borderId="10" xfId="0" applyNumberFormat="1" applyFont="1" applyFill="1" applyBorder="1" applyAlignment="1">
      <alignment horizontal="center" vertical="center"/>
    </xf>
    <xf numFmtId="2" fontId="3" fillId="4" borderId="10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 wrapText="1"/>
    </xf>
    <xf numFmtId="0" fontId="3" fillId="8" borderId="10" xfId="0" applyFont="1" applyFill="1" applyBorder="1"/>
    <xf numFmtId="1" fontId="7" fillId="8" borderId="12" xfId="1" applyNumberFormat="1" applyFont="1" applyFill="1" applyBorder="1" applyAlignment="1">
      <alignment horizontal="center" vertical="center"/>
    </xf>
    <xf numFmtId="169" fontId="3" fillId="8" borderId="11" xfId="0" applyNumberFormat="1" applyFont="1" applyFill="1" applyBorder="1"/>
    <xf numFmtId="0" fontId="48" fillId="0" borderId="0" xfId="0" applyFont="1" applyAlignment="1">
      <alignment horizontal="left" indent="1"/>
    </xf>
    <xf numFmtId="0" fontId="44" fillId="0" borderId="0" xfId="0" applyFont="1" applyAlignment="1">
      <alignment horizontal="left" indent="1"/>
    </xf>
    <xf numFmtId="0" fontId="8" fillId="3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/>
    </xf>
    <xf numFmtId="0" fontId="12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8" fillId="3" borderId="0" xfId="0" applyFont="1" applyFill="1" applyAlignment="1">
      <alignment vertical="center"/>
    </xf>
    <xf numFmtId="0" fontId="3" fillId="3" borderId="9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 vertical="center"/>
    </xf>
    <xf numFmtId="166" fontId="3" fillId="0" borderId="12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166" fontId="3" fillId="0" borderId="0" xfId="0" applyNumberFormat="1" applyFont="1"/>
    <xf numFmtId="0" fontId="3" fillId="8" borderId="10" xfId="0" applyFont="1" applyFill="1" applyBorder="1" applyAlignment="1">
      <alignment horizontal="left" vertical="center" indent="1"/>
    </xf>
    <xf numFmtId="0" fontId="3" fillId="8" borderId="10" xfId="0" applyFont="1" applyFill="1" applyBorder="1" applyAlignment="1" applyProtection="1">
      <alignment horizontal="center"/>
      <protection locked="0"/>
    </xf>
    <xf numFmtId="166" fontId="3" fillId="8" borderId="12" xfId="0" applyNumberFormat="1" applyFont="1" applyFill="1" applyBorder="1" applyAlignment="1">
      <alignment horizontal="center"/>
    </xf>
    <xf numFmtId="166" fontId="3" fillId="8" borderId="12" xfId="0" applyNumberFormat="1" applyFont="1" applyFill="1" applyBorder="1" applyAlignment="1">
      <alignment horizontal="center" vertical="center"/>
    </xf>
    <xf numFmtId="0" fontId="7" fillId="8" borderId="10" xfId="0" applyFont="1" applyFill="1" applyBorder="1" applyAlignment="1" applyProtection="1">
      <alignment horizontal="center"/>
      <protection locked="0"/>
    </xf>
    <xf numFmtId="166" fontId="7" fillId="8" borderId="12" xfId="0" applyNumberFormat="1" applyFont="1" applyFill="1" applyBorder="1" applyAlignment="1">
      <alignment horizontal="center" vertical="center"/>
    </xf>
    <xf numFmtId="0" fontId="3" fillId="6" borderId="15" xfId="0" applyFont="1" applyFill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>
      <alignment horizontal="center" vertical="center"/>
    </xf>
    <xf numFmtId="0" fontId="7" fillId="8" borderId="10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 vertical="center"/>
    </xf>
    <xf numFmtId="0" fontId="49" fillId="0" borderId="0" xfId="0" applyFont="1"/>
    <xf numFmtId="0" fontId="11" fillId="0" borderId="9" xfId="0" applyFont="1" applyBorder="1" applyAlignment="1">
      <alignment horizontal="left" vertical="center" indent="1"/>
    </xf>
    <xf numFmtId="0" fontId="3" fillId="0" borderId="9" xfId="0" applyFont="1" applyBorder="1" applyAlignment="1">
      <alignment vertical="top" wrapText="1"/>
    </xf>
    <xf numFmtId="0" fontId="32" fillId="4" borderId="10" xfId="0" applyFont="1" applyFill="1" applyBorder="1" applyAlignment="1">
      <alignment horizontal="left" vertical="center" indent="1"/>
    </xf>
    <xf numFmtId="0" fontId="20" fillId="0" borderId="10" xfId="0" applyFont="1" applyBorder="1" applyAlignment="1">
      <alignment horizontal="left" vertical="center" indent="1"/>
    </xf>
    <xf numFmtId="0" fontId="18" fillId="0" borderId="6" xfId="0" applyFont="1" applyBorder="1"/>
    <xf numFmtId="0" fontId="20" fillId="5" borderId="10" xfId="0" applyFont="1" applyFill="1" applyBorder="1" applyAlignment="1">
      <alignment horizontal="left" vertical="center" wrapText="1" indent="1"/>
    </xf>
    <xf numFmtId="0" fontId="20" fillId="0" borderId="11" xfId="0" applyFont="1" applyBorder="1" applyAlignment="1">
      <alignment horizontal="left" vertical="center" wrapText="1" indent="1"/>
    </xf>
    <xf numFmtId="0" fontId="20" fillId="0" borderId="10" xfId="0" applyFont="1" applyBorder="1" applyAlignment="1">
      <alignment horizontal="left" vertical="center" wrapText="1" indent="1"/>
    </xf>
    <xf numFmtId="0" fontId="20" fillId="0" borderId="6" xfId="0" applyFont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49" fontId="7" fillId="8" borderId="11" xfId="0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horizontal="left" vertical="center" wrapText="1"/>
    </xf>
    <xf numFmtId="0" fontId="44" fillId="9" borderId="16" xfId="0" applyFont="1" applyFill="1" applyBorder="1" applyAlignment="1">
      <alignment horizontal="left" vertical="center" wrapText="1"/>
    </xf>
  </cellXfs>
  <cellStyles count="5">
    <cellStyle name="Excel Built-in Bad" xfId="4" xr:uid="{00000000-0005-0000-0000-000008000000}"/>
    <cellStyle name="Hyperlink 1" xfId="3" xr:uid="{00000000-0005-0000-0000-000006000000}"/>
    <cellStyle name="Hyperlinkki" xfId="2" builtinId="8"/>
    <cellStyle name="Normaali" xfId="0" builtinId="0"/>
    <cellStyle name="Prosenttia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518ABD"/>
      <rgbColor rgb="FF800080"/>
      <rgbColor rgb="FF0070C0"/>
      <rgbColor rgb="FFBFBFBF"/>
      <rgbColor rgb="FF7F7F7F"/>
      <rgbColor rgb="FF8FAADC"/>
      <rgbColor rgb="FF993366"/>
      <rgbColor rgb="FFFBE5D6"/>
      <rgbColor rgb="FFDCEFEC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C00000"/>
      <rgbColor rgb="FF3C65AE"/>
      <rgbColor rgb="FF0000FF"/>
      <rgbColor rgb="FF00CCFF"/>
      <rgbColor rgb="FFCCFFFF"/>
      <rgbColor rgb="FF82D7BF"/>
      <rgbColor rgb="FFFFE699"/>
      <rgbColor rgb="FF98B8DF"/>
      <rgbColor rgb="FFF1A78B"/>
      <rgbColor rgb="FFCC99FF"/>
      <rgbColor rgb="FFFFC7CE"/>
      <rgbColor rgb="FF4472C4"/>
      <rgbColor rgb="FF5B9BD5"/>
      <rgbColor rgb="FF99CC00"/>
      <rgbColor rgb="FFFFCC00"/>
      <rgbColor rgb="FFE3AB00"/>
      <rgbColor rgb="FFD36F2B"/>
      <rgbColor rgb="FF6C757D"/>
      <rgbColor rgb="FF929292"/>
      <rgbColor rgb="FF003366"/>
      <rgbColor rgb="FF639A3F"/>
      <rgbColor rgb="FF003300"/>
      <rgbColor rgb="FF242424"/>
      <rgbColor rgb="FF993300"/>
      <rgbColor rgb="FF993366"/>
      <rgbColor rgb="FF444444"/>
      <rgbColor rgb="FF3E40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</a:defRPr>
            </a:pPr>
            <a:r>
              <a:rPr sz="1800" b="1" strike="noStrike" spc="-1">
                <a:solidFill>
                  <a:srgbClr val="000000"/>
                </a:solidFill>
                <a:latin typeface="Arial"/>
              </a:rPr>
              <a:t>Hiilijalanjälki (scope 1 ja 2)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5B9BD5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518A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547D-B145-91DB-5A59F844BE7C}"/>
              </c:ext>
            </c:extLst>
          </c:dPt>
          <c:dPt>
            <c:idx val="1"/>
            <c:bubble3D val="0"/>
            <c:spPr>
              <a:solidFill>
                <a:srgbClr val="D36F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547D-B145-91DB-5A59F844BE7C}"/>
              </c:ext>
            </c:extLst>
          </c:dPt>
          <c:dPt>
            <c:idx val="2"/>
            <c:bubble3D val="0"/>
            <c:spPr>
              <a:solidFill>
                <a:srgbClr val="92929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547D-B145-91DB-5A59F844BE7C}"/>
              </c:ext>
            </c:extLst>
          </c:dPt>
          <c:dPt>
            <c:idx val="3"/>
            <c:bubble3D val="0"/>
            <c:spPr>
              <a:solidFill>
                <a:srgbClr val="E3AB0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547D-B145-91DB-5A59F844BE7C}"/>
              </c:ext>
            </c:extLst>
          </c:dPt>
          <c:dPt>
            <c:idx val="4"/>
            <c:bubble3D val="0"/>
            <c:spPr>
              <a:solidFill>
                <a:srgbClr val="3C65A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547D-B145-91DB-5A59F844BE7C}"/>
              </c:ext>
            </c:extLst>
          </c:dPt>
          <c:dPt>
            <c:idx val="5"/>
            <c:bubble3D val="0"/>
            <c:spPr>
              <a:solidFill>
                <a:srgbClr val="639A3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547D-B145-91DB-5A59F844BE7C}"/>
              </c:ext>
            </c:extLst>
          </c:dPt>
          <c:dPt>
            <c:idx val="6"/>
            <c:bubble3D val="0"/>
            <c:spPr>
              <a:solidFill>
                <a:srgbClr val="98B8D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547D-B145-91DB-5A59F844BE7C}"/>
              </c:ext>
            </c:extLst>
          </c:dPt>
          <c:dPt>
            <c:idx val="7"/>
            <c:bubble3D val="0"/>
            <c:spPr>
              <a:solidFill>
                <a:srgbClr val="F1A78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547D-B145-91DB-5A59F844BE7C}"/>
              </c:ext>
            </c:extLst>
          </c:dPt>
          <c:dPt>
            <c:idx val="8"/>
            <c:bubble3D val="0"/>
            <c:spPr>
              <a:solidFill>
                <a:srgbClr val="BFBFB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1-547D-B145-91DB-5A59F844BE7C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547D-B145-91DB-5A59F844BE7C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547D-B145-91DB-5A59F844BE7C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547D-B145-91DB-5A59F844BE7C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547D-B145-91DB-5A59F844BE7C}"/>
                </c:ext>
              </c:extLst>
            </c:dLbl>
            <c:dLbl>
              <c:idx val="4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547D-B145-91DB-5A59F844BE7C}"/>
                </c:ext>
              </c:extLst>
            </c:dLbl>
            <c:dLbl>
              <c:idx val="5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547D-B145-91DB-5A59F844BE7C}"/>
                </c:ext>
              </c:extLst>
            </c:dLbl>
            <c:dLbl>
              <c:idx val="6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547D-B145-91DB-5A59F844BE7C}"/>
                </c:ext>
              </c:extLst>
            </c:dLbl>
            <c:dLbl>
              <c:idx val="7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F-547D-B145-91DB-5A59F844BE7C}"/>
                </c:ext>
              </c:extLst>
            </c:dLbl>
            <c:dLbl>
              <c:idx val="8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1-547D-B145-91DB-5A59F844BE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i-FI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D.!$A$10:$A$18</c:f>
              <c:strCache>
                <c:ptCount val="9"/>
                <c:pt idx="0">
                  <c:v>Kevyt polttoöljy </c:v>
                </c:pt>
                <c:pt idx="1">
                  <c:v>Dieselöljy</c:v>
                </c:pt>
                <c:pt idx="2">
                  <c:v>Bensiini</c:v>
                </c:pt>
                <c:pt idx="3">
                  <c:v>Uusiutuva kevyt polttoöljy (l)</c:v>
                </c:pt>
                <c:pt idx="4">
                  <c:v>Uusiutuva diesel</c:v>
                </c:pt>
                <c:pt idx="5">
                  <c:v>Nesteytetty maakaasu (LNG)</c:v>
                </c:pt>
                <c:pt idx="6">
                  <c:v>Nestekaasu (propaani)</c:v>
                </c:pt>
                <c:pt idx="7">
                  <c:v>Nestekaasu (LPG, propaanin ja butaanin seos)</c:v>
                </c:pt>
                <c:pt idx="8">
                  <c:v>Puupohjainen polttoaine, esim. hake</c:v>
                </c:pt>
              </c:strCache>
            </c:strRef>
          </c:cat>
          <c:val>
            <c:numRef>
              <c:f>D.!$B$10:$B$18</c:f>
              <c:numCache>
                <c:formatCode>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47D-B145-91DB-5A59F844BE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</a:defRPr>
            </a:pPr>
            <a:r>
              <a:rPr sz="1800" b="1" strike="noStrike" spc="-1">
                <a:solidFill>
                  <a:srgbClr val="000000"/>
                </a:solidFill>
                <a:latin typeface="Arial"/>
              </a:rPr>
              <a:t>Scope 3 hiilijalanjälki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5B9BD5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518A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429E-9B49-B1D5-AA5FC0506196}"/>
              </c:ext>
            </c:extLst>
          </c:dPt>
          <c:dPt>
            <c:idx val="1"/>
            <c:bubble3D val="0"/>
            <c:spPr>
              <a:solidFill>
                <a:srgbClr val="D36F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429E-9B49-B1D5-AA5FC0506196}"/>
              </c:ext>
            </c:extLst>
          </c:dPt>
          <c:dPt>
            <c:idx val="2"/>
            <c:bubble3D val="0"/>
            <c:spPr>
              <a:solidFill>
                <a:srgbClr val="92929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429E-9B49-B1D5-AA5FC0506196}"/>
              </c:ext>
            </c:extLst>
          </c:dPt>
          <c:dPt>
            <c:idx val="3"/>
            <c:bubble3D val="0"/>
            <c:spPr>
              <a:solidFill>
                <a:srgbClr val="E3AB0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429E-9B49-B1D5-AA5FC0506196}"/>
              </c:ext>
            </c:extLst>
          </c:dPt>
          <c:dPt>
            <c:idx val="4"/>
            <c:bubble3D val="0"/>
            <c:spPr>
              <a:solidFill>
                <a:srgbClr val="3C65A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429E-9B49-B1D5-AA5FC0506196}"/>
              </c:ext>
            </c:extLst>
          </c:dPt>
          <c:dPt>
            <c:idx val="5"/>
            <c:bubble3D val="0"/>
            <c:spPr>
              <a:solidFill>
                <a:srgbClr val="639A3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429E-9B49-B1D5-AA5FC0506196}"/>
              </c:ext>
            </c:extLst>
          </c:dPt>
          <c:dPt>
            <c:idx val="6"/>
            <c:bubble3D val="0"/>
            <c:spPr>
              <a:solidFill>
                <a:srgbClr val="98B8D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429E-9B49-B1D5-AA5FC0506196}"/>
              </c:ext>
            </c:extLst>
          </c:dPt>
          <c:dPt>
            <c:idx val="7"/>
            <c:bubble3D val="0"/>
            <c:spPr>
              <a:solidFill>
                <a:srgbClr val="F1A78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429E-9B49-B1D5-AA5FC0506196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429E-9B49-B1D5-AA5FC0506196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429E-9B49-B1D5-AA5FC0506196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429E-9B49-B1D5-AA5FC0506196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429E-9B49-B1D5-AA5FC0506196}"/>
                </c:ext>
              </c:extLst>
            </c:dLbl>
            <c:dLbl>
              <c:idx val="4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429E-9B49-B1D5-AA5FC0506196}"/>
                </c:ext>
              </c:extLst>
            </c:dLbl>
            <c:dLbl>
              <c:idx val="5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429E-9B49-B1D5-AA5FC0506196}"/>
                </c:ext>
              </c:extLst>
            </c:dLbl>
            <c:dLbl>
              <c:idx val="6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429E-9B49-B1D5-AA5FC0506196}"/>
                </c:ext>
              </c:extLst>
            </c:dLbl>
            <c:dLbl>
              <c:idx val="7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fi-FI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F-429E-9B49-B1D5-AA5FC05061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i-FI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F.!$A$10:$A$17</c:f>
              <c:strCache>
                <c:ptCount val="8"/>
                <c:pt idx="0">
                  <c:v>Puuhankinnat</c:v>
                </c:pt>
                <c:pt idx="1">
                  <c:v>Muut materiaalihankinnat</c:v>
                </c:pt>
                <c:pt idx="2">
                  <c:v>Rahti</c:v>
                </c:pt>
                <c:pt idx="3">
                  <c:v>Henkilökunnan työmatkat</c:v>
                </c:pt>
                <c:pt idx="4">
                  <c:v>Työhön liittyvä matkustaminen</c:v>
                </c:pt>
                <c:pt idx="5">
                  <c:v>Jätteet</c:v>
                </c:pt>
                <c:pt idx="6">
                  <c:v>Sähköntuotannon epäsuorat päästöt</c:v>
                </c:pt>
                <c:pt idx="7">
                  <c:v>Polttoaineiden valmistuksen epäsuorat päästöt</c:v>
                </c:pt>
              </c:strCache>
            </c:strRef>
          </c:cat>
          <c:val>
            <c:numRef>
              <c:f>F.!$B$10:$B$17</c:f>
              <c:numCache>
                <c:formatCode>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29E-9B49-B1D5-AA5FC0506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31</xdr:row>
      <xdr:rowOff>0</xdr:rowOff>
    </xdr:from>
    <xdr:to>
      <xdr:col>5</xdr:col>
      <xdr:colOff>1447560</xdr:colOff>
      <xdr:row>46</xdr:row>
      <xdr:rowOff>134640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21</xdr:row>
      <xdr:rowOff>0</xdr:rowOff>
    </xdr:from>
    <xdr:to>
      <xdr:col>11</xdr:col>
      <xdr:colOff>390240</xdr:colOff>
      <xdr:row>37</xdr:row>
      <xdr:rowOff>182160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</a:majorFont>
      <a:minorFont>
        <a:latin typeface="Arial" panose="020B06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9F0961A-11A7-3440-9260-75FE9E805A2B}">
  <we:reference id="29673e3c-d826-4f00-92ee-162334a52b1a" version="1.0.0.8" store="EXCatalog" storeType="EXCatalog"/>
  <we:alternateReferences>
    <we:reference id="WA200009404" version="1.0.0.8" store="fi-FI" storeType="OMEX"/>
  </we:alternateReferences>
  <we:properties>
    <we:property name="claude.fileId" value="&quot;1a6b02fa-1f58-4a62-b34e-4422b58bbf6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uha.kauppinen@sakky.fi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showGridLines="0" zoomScale="110" zoomScaleNormal="110" workbookViewId="0">
      <selection activeCell="F27" sqref="F27"/>
    </sheetView>
  </sheetViews>
  <sheetFormatPr baseColWidth="10" defaultColWidth="8.5" defaultRowHeight="15" x14ac:dyDescent="0.2"/>
  <cols>
    <col min="1" max="1" width="47" style="14" customWidth="1"/>
    <col min="2" max="2" width="14.6640625" style="14" customWidth="1"/>
    <col min="3" max="3" width="40.5" style="14" customWidth="1"/>
    <col min="4" max="16384" width="8.5" style="14"/>
  </cols>
  <sheetData>
    <row r="1" spans="1:9" x14ac:dyDescent="0.2">
      <c r="A1" s="15" t="s">
        <v>700</v>
      </c>
    </row>
    <row r="2" spans="1:9" ht="39.75" customHeight="1" x14ac:dyDescent="0.3">
      <c r="A2" s="16" t="s">
        <v>0</v>
      </c>
      <c r="C2" s="17"/>
    </row>
    <row r="3" spans="1:9" ht="15" customHeight="1" x14ac:dyDescent="0.3">
      <c r="A3" s="16"/>
      <c r="C3" s="17"/>
    </row>
    <row r="4" spans="1:9" x14ac:dyDescent="0.2">
      <c r="A4" s="18"/>
      <c r="B4" s="19"/>
      <c r="C4" s="19"/>
      <c r="D4" s="19"/>
      <c r="E4" s="19"/>
      <c r="F4" s="19"/>
      <c r="G4" s="19"/>
      <c r="H4" s="19"/>
      <c r="I4" s="20"/>
    </row>
    <row r="5" spans="1:9" x14ac:dyDescent="0.2">
      <c r="A5" s="21" t="s">
        <v>1</v>
      </c>
      <c r="B5" s="22"/>
      <c r="C5" s="22"/>
      <c r="D5" s="22"/>
      <c r="E5" s="22"/>
      <c r="F5" s="22"/>
      <c r="G5" s="22"/>
      <c r="H5" s="22"/>
      <c r="I5" s="23"/>
    </row>
    <row r="6" spans="1:9" x14ac:dyDescent="0.2">
      <c r="A6" s="21" t="s">
        <v>2</v>
      </c>
      <c r="B6" s="22"/>
      <c r="C6" s="22"/>
      <c r="D6" s="22"/>
      <c r="E6" s="22"/>
      <c r="F6" s="22"/>
      <c r="G6" s="22"/>
      <c r="H6" s="22"/>
      <c r="I6" s="23"/>
    </row>
    <row r="7" spans="1:9" x14ac:dyDescent="0.2">
      <c r="A7" s="24" t="s">
        <v>3</v>
      </c>
      <c r="B7" s="22"/>
      <c r="C7" s="22"/>
      <c r="D7" s="22"/>
      <c r="E7" s="22"/>
      <c r="F7" s="22"/>
      <c r="G7" s="22"/>
      <c r="H7" s="22"/>
      <c r="I7" s="23"/>
    </row>
    <row r="8" spans="1:9" x14ac:dyDescent="0.2">
      <c r="A8" s="25"/>
      <c r="B8" s="26"/>
      <c r="C8" s="26"/>
      <c r="D8" s="26"/>
      <c r="E8" s="26"/>
      <c r="F8" s="26"/>
      <c r="G8" s="26"/>
      <c r="H8" s="26"/>
      <c r="I8" s="27"/>
    </row>
    <row r="9" spans="1:9" ht="15" customHeight="1" x14ac:dyDescent="0.2">
      <c r="A9" s="28"/>
    </row>
    <row r="10" spans="1:9" x14ac:dyDescent="0.2">
      <c r="A10" s="29"/>
      <c r="B10" s="30"/>
      <c r="C10" s="30"/>
      <c r="D10" s="30"/>
      <c r="E10" s="30"/>
      <c r="F10" s="30"/>
      <c r="G10" s="30"/>
      <c r="H10" s="30"/>
      <c r="I10" s="31"/>
    </row>
    <row r="11" spans="1:9" x14ac:dyDescent="0.2">
      <c r="A11" s="32" t="s">
        <v>4</v>
      </c>
      <c r="B11" s="33"/>
      <c r="C11" s="33"/>
      <c r="D11" s="33"/>
      <c r="E11" s="33"/>
      <c r="F11" s="33"/>
      <c r="G11" s="33"/>
      <c r="H11" s="33"/>
      <c r="I11" s="34"/>
    </row>
    <row r="12" spans="1:9" x14ac:dyDescent="0.2">
      <c r="A12" s="32" t="s">
        <v>5</v>
      </c>
      <c r="B12" s="33"/>
      <c r="C12" s="33"/>
      <c r="D12" s="33"/>
      <c r="E12" s="33"/>
      <c r="F12" s="33"/>
      <c r="G12" s="33"/>
      <c r="H12" s="33"/>
      <c r="I12" s="34"/>
    </row>
    <row r="13" spans="1:9" x14ac:dyDescent="0.2">
      <c r="A13" s="32" t="s">
        <v>6</v>
      </c>
      <c r="B13" s="33"/>
      <c r="C13" s="33"/>
      <c r="D13" s="33"/>
      <c r="E13" s="33"/>
      <c r="F13" s="33"/>
      <c r="G13" s="33"/>
      <c r="H13" s="33"/>
      <c r="I13" s="34"/>
    </row>
    <row r="14" spans="1:9" x14ac:dyDescent="0.2">
      <c r="A14" s="32" t="s">
        <v>7</v>
      </c>
      <c r="B14" s="33"/>
      <c r="C14" s="33"/>
      <c r="D14" s="33"/>
      <c r="E14" s="33"/>
      <c r="F14" s="33"/>
      <c r="G14" s="33"/>
      <c r="H14" s="33"/>
      <c r="I14" s="34"/>
    </row>
    <row r="15" spans="1:9" x14ac:dyDescent="0.2">
      <c r="A15" s="32" t="s">
        <v>8</v>
      </c>
      <c r="B15" s="33"/>
      <c r="C15" s="33"/>
      <c r="D15" s="33"/>
      <c r="E15" s="33"/>
      <c r="F15" s="33"/>
      <c r="G15" s="33"/>
      <c r="H15" s="33"/>
      <c r="I15" s="34"/>
    </row>
    <row r="16" spans="1:9" x14ac:dyDescent="0.2">
      <c r="A16" s="35"/>
      <c r="B16" s="36"/>
      <c r="C16" s="36"/>
      <c r="D16" s="36"/>
      <c r="E16" s="36"/>
      <c r="F16" s="36"/>
      <c r="G16" s="36"/>
      <c r="H16" s="36"/>
      <c r="I16" s="37"/>
    </row>
    <row r="17" spans="1:4" ht="15" customHeight="1" x14ac:dyDescent="0.2">
      <c r="A17" s="28"/>
    </row>
    <row r="18" spans="1:4" x14ac:dyDescent="0.2">
      <c r="A18" s="38" t="s">
        <v>9</v>
      </c>
    </row>
    <row r="19" spans="1:4" ht="15" customHeight="1" x14ac:dyDescent="0.2">
      <c r="A19" s="28"/>
    </row>
    <row r="20" spans="1:4" ht="25.5" customHeight="1" x14ac:dyDescent="0.2">
      <c r="A20" s="39" t="s">
        <v>10</v>
      </c>
    </row>
    <row r="21" spans="1:4" ht="19.5" customHeight="1" x14ac:dyDescent="0.2">
      <c r="A21" s="21" t="s">
        <v>11</v>
      </c>
    </row>
    <row r="22" spans="1:4" ht="19.5" customHeight="1" x14ac:dyDescent="0.2">
      <c r="A22" s="21" t="s">
        <v>12</v>
      </c>
    </row>
    <row r="23" spans="1:4" ht="19.5" customHeight="1" x14ac:dyDescent="0.2">
      <c r="A23" s="21" t="s">
        <v>13</v>
      </c>
    </row>
    <row r="24" spans="1:4" ht="19.5" customHeight="1" x14ac:dyDescent="0.2">
      <c r="A24" s="21" t="s">
        <v>14</v>
      </c>
    </row>
    <row r="25" spans="1:4" ht="19.5" customHeight="1" x14ac:dyDescent="0.3">
      <c r="A25" s="21" t="s">
        <v>15</v>
      </c>
      <c r="C25" s="40"/>
    </row>
    <row r="26" spans="1:4" ht="19.5" customHeight="1" x14ac:dyDescent="0.2">
      <c r="A26" s="21" t="s">
        <v>16</v>
      </c>
    </row>
    <row r="27" spans="1:4" ht="19.5" customHeight="1" x14ac:dyDescent="0.2">
      <c r="A27" s="21" t="s">
        <v>17</v>
      </c>
      <c r="B27" s="41"/>
      <c r="C27" s="42"/>
    </row>
    <row r="28" spans="1:4" ht="19.5" customHeight="1" x14ac:dyDescent="0.2">
      <c r="A28" s="21" t="s">
        <v>18</v>
      </c>
      <c r="B28" s="43"/>
      <c r="C28" s="42"/>
      <c r="D28" s="42"/>
    </row>
    <row r="29" spans="1:4" ht="19.5" customHeight="1" x14ac:dyDescent="0.2">
      <c r="A29" s="21" t="s">
        <v>19</v>
      </c>
      <c r="B29" s="43"/>
      <c r="C29" s="42"/>
    </row>
    <row r="30" spans="1:4" ht="19.5" customHeight="1" x14ac:dyDescent="0.2">
      <c r="A30" s="21" t="s">
        <v>20</v>
      </c>
      <c r="B30" s="43"/>
      <c r="C30" s="42"/>
    </row>
    <row r="31" spans="1:4" ht="19.5" customHeight="1" x14ac:dyDescent="0.2">
      <c r="A31" s="44" t="s">
        <v>21</v>
      </c>
      <c r="C31" s="42"/>
    </row>
    <row r="32" spans="1:4" ht="18.75" customHeight="1" x14ac:dyDescent="0.2">
      <c r="A32" s="45" t="s">
        <v>22</v>
      </c>
      <c r="B32" s="43"/>
      <c r="C32" s="42"/>
    </row>
    <row r="33" spans="1:10" x14ac:dyDescent="0.2">
      <c r="A33" s="46" t="s">
        <v>23</v>
      </c>
      <c r="B33" s="43"/>
      <c r="C33" s="42"/>
    </row>
    <row r="34" spans="1:10" x14ac:dyDescent="0.2">
      <c r="A34" s="47" t="s">
        <v>24</v>
      </c>
      <c r="B34" s="43"/>
      <c r="C34" s="42"/>
    </row>
    <row r="35" spans="1:10" x14ac:dyDescent="0.2">
      <c r="A35" s="28" t="s">
        <v>25</v>
      </c>
      <c r="B35" s="43"/>
      <c r="C35" s="42"/>
    </row>
    <row r="36" spans="1:10" ht="15.75" customHeight="1" x14ac:dyDescent="0.2">
      <c r="A36" s="48" t="s">
        <v>26</v>
      </c>
      <c r="B36" s="43"/>
      <c r="H36" s="49"/>
    </row>
    <row r="37" spans="1:10" x14ac:dyDescent="0.2">
      <c r="B37" s="43"/>
    </row>
    <row r="38" spans="1:10" x14ac:dyDescent="0.2">
      <c r="A38" s="28" t="s">
        <v>27</v>
      </c>
      <c r="H38" s="49"/>
    </row>
    <row r="39" spans="1:10" x14ac:dyDescent="0.2">
      <c r="A39" s="50" t="s">
        <v>28</v>
      </c>
    </row>
    <row r="40" spans="1:10" x14ac:dyDescent="0.2">
      <c r="A40" s="51"/>
      <c r="H40" s="49"/>
    </row>
    <row r="41" spans="1:10" x14ac:dyDescent="0.2">
      <c r="A41" s="52"/>
    </row>
    <row r="42" spans="1:10" x14ac:dyDescent="0.2">
      <c r="A42" s="53" t="s">
        <v>29</v>
      </c>
    </row>
    <row r="43" spans="1:10" x14ac:dyDescent="0.2">
      <c r="A43" s="52" t="s">
        <v>30</v>
      </c>
      <c r="J43" s="42"/>
    </row>
    <row r="44" spans="1:10" x14ac:dyDescent="0.2">
      <c r="A44" s="52" t="s">
        <v>31</v>
      </c>
    </row>
    <row r="45" spans="1:10" x14ac:dyDescent="0.2">
      <c r="A45" s="54" t="s">
        <v>32</v>
      </c>
    </row>
    <row r="46" spans="1:10" x14ac:dyDescent="0.2">
      <c r="A46" s="54" t="s">
        <v>33</v>
      </c>
    </row>
    <row r="47" spans="1:10" x14ac:dyDescent="0.2">
      <c r="A47" s="54" t="s">
        <v>34</v>
      </c>
    </row>
    <row r="48" spans="1:10" x14ac:dyDescent="0.2">
      <c r="A48" s="54" t="s">
        <v>701</v>
      </c>
    </row>
    <row r="49" spans="1:1" x14ac:dyDescent="0.2">
      <c r="A49" s="15" t="s">
        <v>702</v>
      </c>
    </row>
    <row r="50" spans="1:1" x14ac:dyDescent="0.2">
      <c r="A50" s="14" t="s">
        <v>35</v>
      </c>
    </row>
    <row r="51" spans="1:1" x14ac:dyDescent="0.2">
      <c r="A51" s="14" t="s">
        <v>36</v>
      </c>
    </row>
    <row r="52" spans="1:1" ht="18.75" customHeight="1" x14ac:dyDescent="0.25">
      <c r="A52" s="55" t="s">
        <v>37</v>
      </c>
    </row>
    <row r="53" spans="1:1" ht="64" x14ac:dyDescent="0.2">
      <c r="A53" s="56" t="s">
        <v>38</v>
      </c>
    </row>
    <row r="54" spans="1:1" ht="48" x14ac:dyDescent="0.2">
      <c r="A54" s="56" t="s">
        <v>39</v>
      </c>
    </row>
    <row r="55" spans="1:1" ht="48" x14ac:dyDescent="0.2">
      <c r="A55" s="56" t="s">
        <v>40</v>
      </c>
    </row>
    <row r="56" spans="1:1" ht="48" x14ac:dyDescent="0.2">
      <c r="A56" s="56" t="s">
        <v>41</v>
      </c>
    </row>
    <row r="57" spans="1:1" ht="64" x14ac:dyDescent="0.2">
      <c r="A57" s="56" t="s">
        <v>42</v>
      </c>
    </row>
    <row r="58" spans="1:1" x14ac:dyDescent="0.2">
      <c r="A58" s="14" t="s">
        <v>43</v>
      </c>
    </row>
    <row r="59" spans="1:1" ht="18.75" customHeight="1" x14ac:dyDescent="0.25">
      <c r="A59" s="57" t="s">
        <v>44</v>
      </c>
    </row>
    <row r="61" spans="1:1" x14ac:dyDescent="0.2">
      <c r="A61" s="15" t="s">
        <v>703</v>
      </c>
    </row>
    <row r="62" spans="1:1" x14ac:dyDescent="0.2">
      <c r="A62" s="14" t="s">
        <v>45</v>
      </c>
    </row>
    <row r="63" spans="1:1" x14ac:dyDescent="0.2">
      <c r="A63" s="14" t="s">
        <v>46</v>
      </c>
    </row>
    <row r="64" spans="1:1" x14ac:dyDescent="0.2">
      <c r="A64" s="14" t="s">
        <v>47</v>
      </c>
    </row>
    <row r="65" spans="1:1" x14ac:dyDescent="0.2">
      <c r="A65" s="58" t="s">
        <v>48</v>
      </c>
    </row>
    <row r="66" spans="1:1" x14ac:dyDescent="0.2">
      <c r="A66" s="58" t="s">
        <v>49</v>
      </c>
    </row>
    <row r="67" spans="1:1" x14ac:dyDescent="0.2">
      <c r="A67" s="14" t="s">
        <v>50</v>
      </c>
    </row>
    <row r="69" spans="1:1" x14ac:dyDescent="0.2">
      <c r="A69" s="14" t="s">
        <v>51</v>
      </c>
    </row>
    <row r="70" spans="1:1" x14ac:dyDescent="0.2">
      <c r="A70" s="15" t="s">
        <v>52</v>
      </c>
    </row>
    <row r="71" spans="1:1" x14ac:dyDescent="0.2">
      <c r="A71" s="14" t="s">
        <v>53</v>
      </c>
    </row>
    <row r="72" spans="1:1" x14ac:dyDescent="0.2">
      <c r="A72" s="14" t="s">
        <v>54</v>
      </c>
    </row>
    <row r="73" spans="1:1" x14ac:dyDescent="0.2">
      <c r="A73" s="14" t="s">
        <v>55</v>
      </c>
    </row>
    <row r="74" spans="1:1" x14ac:dyDescent="0.2">
      <c r="A74" s="14" t="s">
        <v>56</v>
      </c>
    </row>
  </sheetData>
  <hyperlinks>
    <hyperlink ref="A39" r:id="rId1" xr:uid="{00000000-0004-0000-0000-000000000000}"/>
  </hyperlink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5"/>
  <sheetViews>
    <sheetView showGridLines="0" topLeftCell="A9" zoomScale="110" zoomScaleNormal="110" workbookViewId="0">
      <selection activeCell="A78" sqref="A78"/>
    </sheetView>
  </sheetViews>
  <sheetFormatPr baseColWidth="10" defaultColWidth="9.5" defaultRowHeight="15" x14ac:dyDescent="0.2"/>
  <cols>
    <col min="1" max="1" width="36.1640625" style="14" customWidth="1"/>
    <col min="2" max="2" width="22.5" style="14" customWidth="1"/>
    <col min="3" max="3" width="11.6640625" style="14" customWidth="1"/>
    <col min="4" max="4" width="30.6640625" style="14" customWidth="1"/>
    <col min="5" max="5" width="47" style="14" customWidth="1"/>
    <col min="6" max="16384" width="9.5" style="14"/>
  </cols>
  <sheetData>
    <row r="1" spans="1:5" ht="24" customHeight="1" x14ac:dyDescent="0.3">
      <c r="A1" s="59" t="s">
        <v>57</v>
      </c>
      <c r="B1" s="60"/>
      <c r="C1" s="60"/>
      <c r="D1" s="60"/>
      <c r="E1" s="60"/>
    </row>
    <row r="2" spans="1:5" ht="24" customHeight="1" x14ac:dyDescent="0.3">
      <c r="A2" s="59"/>
      <c r="B2" s="60"/>
      <c r="C2" s="60"/>
      <c r="D2" s="60"/>
      <c r="E2" s="60"/>
    </row>
    <row r="3" spans="1:5" ht="18.75" customHeight="1" x14ac:dyDescent="0.2">
      <c r="A3" s="61"/>
      <c r="B3" s="62"/>
      <c r="C3" s="62"/>
      <c r="D3" s="63"/>
      <c r="E3" s="64"/>
    </row>
    <row r="4" spans="1:5" x14ac:dyDescent="0.2">
      <c r="A4" s="24" t="s">
        <v>58</v>
      </c>
      <c r="B4" s="65"/>
      <c r="C4" s="65"/>
      <c r="D4" s="66"/>
      <c r="E4" s="64"/>
    </row>
    <row r="5" spans="1:5" ht="15.75" customHeight="1" x14ac:dyDescent="0.2">
      <c r="A5" s="67"/>
      <c r="B5" s="68"/>
      <c r="C5" s="68"/>
      <c r="D5" s="69"/>
      <c r="E5" s="64"/>
    </row>
    <row r="6" spans="1:5" ht="18.75" customHeight="1" x14ac:dyDescent="0.2">
      <c r="A6" s="70"/>
      <c r="B6" s="60"/>
      <c r="C6" s="60"/>
      <c r="D6" s="60"/>
      <c r="E6" s="60"/>
    </row>
    <row r="7" spans="1:5" ht="18.75" customHeight="1" x14ac:dyDescent="0.2">
      <c r="A7" s="71" t="s">
        <v>59</v>
      </c>
      <c r="D7" s="41"/>
    </row>
    <row r="8" spans="1:5" x14ac:dyDescent="0.2">
      <c r="A8" s="72" t="s">
        <v>60</v>
      </c>
      <c r="B8" s="13"/>
      <c r="C8" s="13"/>
      <c r="D8" s="13"/>
    </row>
    <row r="9" spans="1:5" x14ac:dyDescent="0.2">
      <c r="A9" s="72" t="s">
        <v>61</v>
      </c>
      <c r="B9" s="73"/>
      <c r="C9" s="74"/>
      <c r="D9" s="75"/>
    </row>
    <row r="10" spans="1:5" x14ac:dyDescent="0.2">
      <c r="A10" s="72" t="s">
        <v>62</v>
      </c>
      <c r="B10" s="13"/>
      <c r="C10" s="13"/>
      <c r="D10" s="13"/>
    </row>
    <row r="11" spans="1:5" x14ac:dyDescent="0.2">
      <c r="A11" s="72" t="s">
        <v>63</v>
      </c>
      <c r="B11" s="12"/>
      <c r="C11" s="12"/>
      <c r="D11" s="12"/>
    </row>
    <row r="12" spans="1:5" x14ac:dyDescent="0.2">
      <c r="A12" s="76" t="s">
        <v>64</v>
      </c>
      <c r="B12" s="77"/>
      <c r="C12" s="78"/>
      <c r="D12" s="79"/>
    </row>
    <row r="13" spans="1:5" x14ac:dyDescent="0.2">
      <c r="A13" s="80" t="s">
        <v>65</v>
      </c>
      <c r="B13" s="81"/>
      <c r="C13" s="82" t="s">
        <v>66</v>
      </c>
      <c r="D13" s="83"/>
    </row>
    <row r="14" spans="1:5" x14ac:dyDescent="0.2">
      <c r="A14" s="80" t="s">
        <v>67</v>
      </c>
      <c r="B14" s="73"/>
      <c r="C14" s="72" t="s">
        <v>68</v>
      </c>
      <c r="D14" s="83"/>
      <c r="E14" s="42"/>
    </row>
    <row r="15" spans="1:5" ht="15.75" customHeight="1" x14ac:dyDescent="0.2">
      <c r="A15" s="84" t="s">
        <v>69</v>
      </c>
      <c r="B15" s="85"/>
      <c r="C15" s="72" t="s">
        <v>70</v>
      </c>
      <c r="D15" s="83"/>
      <c r="E15" s="42"/>
    </row>
    <row r="16" spans="1:5" ht="16.5" customHeight="1" x14ac:dyDescent="0.2">
      <c r="A16" s="80" t="s">
        <v>71</v>
      </c>
      <c r="B16" s="86"/>
      <c r="C16" s="87" t="s">
        <v>72</v>
      </c>
      <c r="D16" s="88"/>
      <c r="E16" s="42"/>
    </row>
    <row r="17" spans="1:5" ht="15.75" customHeight="1" x14ac:dyDescent="0.2">
      <c r="A17" s="89" t="s">
        <v>73</v>
      </c>
      <c r="B17" s="73"/>
      <c r="C17" s="90"/>
      <c r="D17" s="88"/>
    </row>
    <row r="19" spans="1:5" ht="19.5" customHeight="1" x14ac:dyDescent="0.2">
      <c r="A19" s="91" t="s">
        <v>74</v>
      </c>
    </row>
    <row r="20" spans="1:5" ht="31.5" customHeight="1" x14ac:dyDescent="0.2">
      <c r="A20" s="92"/>
      <c r="B20" s="93"/>
      <c r="C20" s="94" t="s">
        <v>75</v>
      </c>
      <c r="D20" s="95" t="s">
        <v>76</v>
      </c>
      <c r="E20" s="96" t="s">
        <v>77</v>
      </c>
    </row>
    <row r="21" spans="1:5" ht="16.5" customHeight="1" x14ac:dyDescent="0.2">
      <c r="A21" s="97" t="s">
        <v>78</v>
      </c>
      <c r="B21" s="98">
        <f>D.!B19</f>
        <v>0</v>
      </c>
      <c r="C21" s="99" t="s">
        <v>79</v>
      </c>
      <c r="D21" s="100"/>
      <c r="E21" s="11" t="s">
        <v>80</v>
      </c>
    </row>
    <row r="22" spans="1:5" ht="16.5" customHeight="1" x14ac:dyDescent="0.2">
      <c r="A22" s="97" t="s">
        <v>81</v>
      </c>
      <c r="B22" s="98">
        <f>D.!B26</f>
        <v>0</v>
      </c>
      <c r="C22" s="99" t="s">
        <v>79</v>
      </c>
      <c r="D22" s="100"/>
      <c r="E22" s="11"/>
    </row>
    <row r="23" spans="1:5" ht="16.5" customHeight="1" x14ac:dyDescent="0.2">
      <c r="A23" s="97" t="s">
        <v>82</v>
      </c>
      <c r="B23" s="98">
        <f>D.!B29</f>
        <v>0</v>
      </c>
      <c r="C23" s="99" t="s">
        <v>83</v>
      </c>
      <c r="D23" s="100"/>
      <c r="E23" s="11"/>
    </row>
    <row r="24" spans="1:5" ht="33.75" customHeight="1" x14ac:dyDescent="0.2">
      <c r="A24" s="101" t="s">
        <v>84</v>
      </c>
      <c r="B24" s="102" t="str">
        <f>IFERROR((1000000*B23)/B13,"")</f>
        <v/>
      </c>
      <c r="C24" s="103" t="s">
        <v>85</v>
      </c>
      <c r="D24" s="100"/>
      <c r="E24" s="97" t="s">
        <v>86</v>
      </c>
    </row>
    <row r="25" spans="1:5" ht="31.5" customHeight="1" x14ac:dyDescent="0.2">
      <c r="A25" s="97" t="s">
        <v>87</v>
      </c>
      <c r="B25" s="102">
        <f>F.!B19</f>
        <v>0</v>
      </c>
      <c r="C25" s="99" t="s">
        <v>83</v>
      </c>
      <c r="D25" s="100"/>
      <c r="E25" s="97" t="s">
        <v>88</v>
      </c>
    </row>
    <row r="26" spans="1:5" ht="33.75" customHeight="1" x14ac:dyDescent="0.2">
      <c r="A26" s="97" t="s">
        <v>89</v>
      </c>
      <c r="B26" s="98" t="str">
        <f>IFERROR((1000000*B25)/B13,"")</f>
        <v/>
      </c>
      <c r="C26" s="104" t="s">
        <v>90</v>
      </c>
      <c r="D26" s="105"/>
      <c r="E26" s="97" t="s">
        <v>86</v>
      </c>
    </row>
    <row r="27" spans="1:5" ht="31.5" customHeight="1" x14ac:dyDescent="0.2">
      <c r="A27" s="97" t="s">
        <v>91</v>
      </c>
      <c r="B27" s="106">
        <f>'C.'!B24+G.!B16</f>
        <v>0</v>
      </c>
      <c r="C27" s="107" t="s">
        <v>92</v>
      </c>
      <c r="D27" s="108"/>
      <c r="E27" s="97" t="s">
        <v>93</v>
      </c>
    </row>
    <row r="28" spans="1:5" ht="15.75" customHeight="1" x14ac:dyDescent="0.2">
      <c r="A28" s="97" t="s">
        <v>94</v>
      </c>
      <c r="B28" s="106">
        <f>'C.'!B39</f>
        <v>0</v>
      </c>
      <c r="C28" s="107" t="s">
        <v>92</v>
      </c>
      <c r="D28" s="108"/>
      <c r="E28" s="97" t="s">
        <v>95</v>
      </c>
    </row>
    <row r="29" spans="1:5" ht="15.75" customHeight="1" x14ac:dyDescent="0.2">
      <c r="A29" s="97" t="s">
        <v>96</v>
      </c>
      <c r="B29" s="106">
        <f>'C.'!B54</f>
        <v>0</v>
      </c>
      <c r="C29" s="107" t="s">
        <v>92</v>
      </c>
      <c r="D29" s="108"/>
      <c r="E29" s="97" t="s">
        <v>95</v>
      </c>
    </row>
    <row r="30" spans="1:5" ht="15.75" customHeight="1" x14ac:dyDescent="0.2">
      <c r="A30" s="97" t="s">
        <v>97</v>
      </c>
      <c r="B30" s="106">
        <f>'C.'!C72</f>
        <v>0</v>
      </c>
      <c r="C30" s="107" t="s">
        <v>92</v>
      </c>
      <c r="D30" s="108"/>
      <c r="E30" s="97" t="s">
        <v>95</v>
      </c>
    </row>
    <row r="31" spans="1:5" ht="15.75" customHeight="1" x14ac:dyDescent="0.2">
      <c r="A31" s="97" t="s">
        <v>98</v>
      </c>
      <c r="B31" s="109">
        <f>B27+B28+B29+B30</f>
        <v>0</v>
      </c>
      <c r="C31" s="110" t="s">
        <v>92</v>
      </c>
      <c r="D31" s="111"/>
      <c r="E31" s="97"/>
    </row>
    <row r="32" spans="1:5" ht="31.5" customHeight="1" x14ac:dyDescent="0.2">
      <c r="A32" s="97" t="s">
        <v>99</v>
      </c>
      <c r="B32" s="106" t="str">
        <f>IFERROR(('C.'!C37+G.!B16)/('C.'!B24+G.!B16)*100,"")</f>
        <v/>
      </c>
      <c r="C32" s="107" t="s">
        <v>100</v>
      </c>
      <c r="D32" s="108"/>
      <c r="E32" s="97" t="s">
        <v>101</v>
      </c>
    </row>
    <row r="33" spans="1:5" ht="31.5" customHeight="1" x14ac:dyDescent="0.2">
      <c r="A33" s="97" t="s">
        <v>102</v>
      </c>
      <c r="B33" s="106" t="str">
        <f>IFERROR('C.'!C52/'C.'!B39*100,"")</f>
        <v/>
      </c>
      <c r="C33" s="107" t="s">
        <v>100</v>
      </c>
      <c r="D33" s="108"/>
      <c r="E33" s="97" t="s">
        <v>101</v>
      </c>
    </row>
    <row r="34" spans="1:5" ht="31.5" customHeight="1" x14ac:dyDescent="0.2">
      <c r="A34" s="97" t="s">
        <v>103</v>
      </c>
      <c r="B34" s="106" t="str">
        <f>IFERROR('C.'!D72/'C.'!C72*100,"")</f>
        <v/>
      </c>
      <c r="C34" s="112" t="s">
        <v>100</v>
      </c>
      <c r="D34" s="113"/>
      <c r="E34" s="97"/>
    </row>
    <row r="35" spans="1:5" ht="32" x14ac:dyDescent="0.2">
      <c r="A35" s="97" t="s">
        <v>104</v>
      </c>
      <c r="B35" s="114" t="str">
        <f>IFERROR(('C.'!C37+G.!B16+G.!B19+'C.'!C52+'C.'!D72)/(B27+B28+B29+B30+G.!B19)*100,"")</f>
        <v/>
      </c>
      <c r="C35" s="112" t="s">
        <v>100</v>
      </c>
      <c r="D35" s="113"/>
      <c r="E35" s="97" t="s">
        <v>105</v>
      </c>
    </row>
    <row r="36" spans="1:5" ht="15.75" customHeight="1" x14ac:dyDescent="0.2">
      <c r="A36" s="97" t="s">
        <v>106</v>
      </c>
      <c r="B36" s="98" t="str">
        <f>H.!B13</f>
        <v/>
      </c>
      <c r="C36" s="115" t="s">
        <v>100</v>
      </c>
      <c r="D36" s="105"/>
      <c r="E36" s="116" t="s">
        <v>107</v>
      </c>
    </row>
    <row r="37" spans="1:5" ht="15.75" customHeight="1" x14ac:dyDescent="0.2">
      <c r="A37" s="97" t="s">
        <v>108</v>
      </c>
      <c r="B37" s="98" t="str">
        <f>H.!B20</f>
        <v/>
      </c>
      <c r="C37" s="115" t="s">
        <v>100</v>
      </c>
      <c r="D37" s="105"/>
      <c r="E37" s="116" t="s">
        <v>107</v>
      </c>
    </row>
    <row r="38" spans="1:5" ht="15.75" customHeight="1" x14ac:dyDescent="0.2">
      <c r="A38" s="97" t="s">
        <v>109</v>
      </c>
      <c r="B38" s="98" t="str">
        <f>H.!B27</f>
        <v/>
      </c>
      <c r="C38" s="115" t="s">
        <v>100</v>
      </c>
      <c r="D38" s="105"/>
      <c r="E38" s="116" t="s">
        <v>107</v>
      </c>
    </row>
    <row r="39" spans="1:5" x14ac:dyDescent="0.2">
      <c r="A39" s="116" t="s">
        <v>110</v>
      </c>
      <c r="B39" s="98" t="str">
        <f>H.!B50</f>
        <v/>
      </c>
      <c r="C39" s="115" t="s">
        <v>100</v>
      </c>
      <c r="D39" s="105"/>
      <c r="E39" s="116" t="s">
        <v>111</v>
      </c>
    </row>
    <row r="40" spans="1:5" ht="48" customHeight="1" x14ac:dyDescent="0.2">
      <c r="A40" s="116" t="s">
        <v>112</v>
      </c>
      <c r="B40" s="98" t="str">
        <f>J.!B38</f>
        <v/>
      </c>
      <c r="C40" s="115" t="s">
        <v>100</v>
      </c>
      <c r="D40" s="105"/>
      <c r="E40" s="97" t="s">
        <v>113</v>
      </c>
    </row>
    <row r="41" spans="1:5" ht="31.5" customHeight="1" x14ac:dyDescent="0.2">
      <c r="A41" s="116" t="s">
        <v>114</v>
      </c>
      <c r="B41" s="117"/>
      <c r="C41" s="115" t="s">
        <v>100</v>
      </c>
      <c r="D41" s="105"/>
      <c r="E41" s="97" t="s">
        <v>115</v>
      </c>
    </row>
    <row r="42" spans="1:5" ht="31.5" customHeight="1" x14ac:dyDescent="0.2">
      <c r="A42" s="116" t="s">
        <v>116</v>
      </c>
      <c r="B42" s="117"/>
      <c r="C42" s="115" t="s">
        <v>100</v>
      </c>
      <c r="D42" s="105"/>
      <c r="E42" s="97" t="s">
        <v>117</v>
      </c>
    </row>
    <row r="43" spans="1:5" ht="63.75" customHeight="1" x14ac:dyDescent="0.2">
      <c r="A43" s="118" t="s">
        <v>118</v>
      </c>
      <c r="B43" s="119">
        <f>J.!B37</f>
        <v>0</v>
      </c>
      <c r="C43" s="120" t="s">
        <v>119</v>
      </c>
      <c r="D43" s="121"/>
      <c r="E43" s="97" t="s">
        <v>120</v>
      </c>
    </row>
    <row r="44" spans="1:5" ht="31.5" customHeight="1" x14ac:dyDescent="0.2">
      <c r="A44" s="118" t="s">
        <v>121</v>
      </c>
      <c r="B44" s="119" t="str">
        <f>IFERROR((1000000*B43)/B13,"")</f>
        <v/>
      </c>
      <c r="C44" s="120" t="s">
        <v>122</v>
      </c>
      <c r="D44" s="121"/>
      <c r="E44" s="97" t="s">
        <v>123</v>
      </c>
    </row>
    <row r="45" spans="1:5" ht="48" customHeight="1" x14ac:dyDescent="0.2">
      <c r="A45" s="118" t="s">
        <v>124</v>
      </c>
      <c r="B45" s="122">
        <f>I.!F21</f>
        <v>0</v>
      </c>
      <c r="C45" s="120" t="s">
        <v>125</v>
      </c>
      <c r="D45" s="121"/>
      <c r="E45" s="97" t="s">
        <v>126</v>
      </c>
    </row>
    <row r="46" spans="1:5" ht="31.5" customHeight="1" x14ac:dyDescent="0.2">
      <c r="A46" s="116" t="s">
        <v>127</v>
      </c>
      <c r="B46" s="117"/>
      <c r="C46" s="115" t="s">
        <v>128</v>
      </c>
      <c r="D46" s="123"/>
      <c r="E46" s="97" t="s">
        <v>129</v>
      </c>
    </row>
    <row r="47" spans="1:5" x14ac:dyDescent="0.2">
      <c r="A47" s="124"/>
      <c r="C47" s="125"/>
    </row>
    <row r="48" spans="1:5" ht="18.75" customHeight="1" x14ac:dyDescent="0.2">
      <c r="A48" s="71" t="s">
        <v>130</v>
      </c>
      <c r="C48" s="125"/>
    </row>
    <row r="49" spans="1:5" ht="18.75" customHeight="1" x14ac:dyDescent="0.25">
      <c r="A49" s="28" t="s">
        <v>131</v>
      </c>
      <c r="B49" s="126"/>
      <c r="C49" s="126"/>
      <c r="D49" s="126"/>
    </row>
    <row r="50" spans="1:5" ht="31.5" customHeight="1" x14ac:dyDescent="0.25">
      <c r="A50" s="127"/>
      <c r="B50" s="128"/>
      <c r="C50" s="94" t="s">
        <v>75</v>
      </c>
      <c r="D50" s="129" t="s">
        <v>76</v>
      </c>
    </row>
    <row r="51" spans="1:5" ht="31.5" customHeight="1" x14ac:dyDescent="0.2">
      <c r="A51" s="97" t="s">
        <v>132</v>
      </c>
      <c r="B51" s="130"/>
      <c r="C51" s="115" t="s">
        <v>119</v>
      </c>
      <c r="D51" s="131"/>
    </row>
    <row r="52" spans="1:5" ht="15.75" customHeight="1" x14ac:dyDescent="0.2">
      <c r="A52" s="97" t="s">
        <v>133</v>
      </c>
      <c r="B52" s="130"/>
      <c r="C52" s="115" t="s">
        <v>119</v>
      </c>
      <c r="D52" s="131"/>
    </row>
    <row r="53" spans="1:5" ht="15.75" customHeight="1" x14ac:dyDescent="0.2">
      <c r="A53" s="97" t="s">
        <v>134</v>
      </c>
      <c r="B53" s="130"/>
      <c r="C53" s="115" t="s">
        <v>119</v>
      </c>
      <c r="D53" s="123"/>
    </row>
    <row r="54" spans="1:5" ht="15.75" customHeight="1" x14ac:dyDescent="0.2">
      <c r="A54" s="97" t="s">
        <v>135</v>
      </c>
      <c r="B54" s="130"/>
      <c r="C54" s="115" t="s">
        <v>119</v>
      </c>
      <c r="D54" s="123"/>
    </row>
    <row r="55" spans="1:5" ht="15.75" customHeight="1" x14ac:dyDescent="0.2">
      <c r="A55" s="97" t="s">
        <v>136</v>
      </c>
      <c r="B55" s="130"/>
      <c r="C55" s="115" t="s">
        <v>119</v>
      </c>
      <c r="D55" s="123"/>
    </row>
    <row r="56" spans="1:5" x14ac:dyDescent="0.2">
      <c r="A56" s="28"/>
    </row>
    <row r="57" spans="1:5" ht="19.5" customHeight="1" x14ac:dyDescent="0.2">
      <c r="A57" s="91" t="s">
        <v>137</v>
      </c>
    </row>
    <row r="58" spans="1:5" ht="31.5" customHeight="1" x14ac:dyDescent="0.25">
      <c r="A58" s="127"/>
      <c r="B58" s="128"/>
      <c r="C58" s="94" t="s">
        <v>75</v>
      </c>
      <c r="D58" s="129" t="s">
        <v>76</v>
      </c>
      <c r="E58" s="96" t="s">
        <v>77</v>
      </c>
    </row>
    <row r="59" spans="1:5" ht="31.5" customHeight="1" x14ac:dyDescent="0.2">
      <c r="A59" s="97" t="s">
        <v>138</v>
      </c>
      <c r="B59" s="132">
        <f>G.!B16</f>
        <v>0</v>
      </c>
      <c r="C59" s="115" t="s">
        <v>92</v>
      </c>
      <c r="D59" s="123"/>
      <c r="E59" s="97" t="s">
        <v>139</v>
      </c>
    </row>
    <row r="60" spans="1:5" ht="31.5" customHeight="1" x14ac:dyDescent="0.2">
      <c r="A60" s="97" t="s">
        <v>140</v>
      </c>
      <c r="B60" s="133">
        <f>G.!D16</f>
        <v>0</v>
      </c>
      <c r="C60" s="115" t="s">
        <v>79</v>
      </c>
      <c r="D60" s="105"/>
      <c r="E60" s="97" t="s">
        <v>141</v>
      </c>
    </row>
    <row r="61" spans="1:5" ht="31.5" customHeight="1" x14ac:dyDescent="0.2">
      <c r="A61" s="97" t="s">
        <v>142</v>
      </c>
      <c r="B61" s="133">
        <f>G.!D19</f>
        <v>0</v>
      </c>
      <c r="C61" s="115"/>
      <c r="D61" s="105"/>
      <c r="E61" s="97"/>
    </row>
    <row r="62" spans="1:5" ht="31.5" customHeight="1" x14ac:dyDescent="0.2">
      <c r="A62" s="97" t="s">
        <v>143</v>
      </c>
      <c r="B62" s="134">
        <f>G.!D27</f>
        <v>0</v>
      </c>
      <c r="C62" s="115" t="s">
        <v>79</v>
      </c>
      <c r="D62" s="105"/>
      <c r="E62" s="97" t="s">
        <v>141</v>
      </c>
    </row>
    <row r="63" spans="1:5" ht="15.75" customHeight="1" x14ac:dyDescent="0.2">
      <c r="A63" s="118" t="s">
        <v>144</v>
      </c>
      <c r="B63" s="135" t="str">
        <f>H.!B58</f>
        <v/>
      </c>
      <c r="C63" s="120" t="s">
        <v>100</v>
      </c>
      <c r="D63" s="121"/>
      <c r="E63" s="116" t="s">
        <v>145</v>
      </c>
    </row>
    <row r="64" spans="1:5" x14ac:dyDescent="0.2">
      <c r="A64" s="136" t="s">
        <v>146</v>
      </c>
      <c r="B64" s="137">
        <f>L.!B20</f>
        <v>0</v>
      </c>
      <c r="C64" s="138" t="s">
        <v>147</v>
      </c>
      <c r="D64" s="121"/>
      <c r="E64" s="139" t="s">
        <v>148</v>
      </c>
    </row>
    <row r="65" spans="1:5" x14ac:dyDescent="0.2">
      <c r="A65" s="140" t="s">
        <v>149</v>
      </c>
      <c r="B65" s="141"/>
      <c r="C65" s="142"/>
      <c r="D65" s="105"/>
      <c r="E65" s="116"/>
    </row>
    <row r="66" spans="1:5" x14ac:dyDescent="0.2">
      <c r="A66" s="28"/>
    </row>
    <row r="67" spans="1:5" ht="19.5" customHeight="1" x14ac:dyDescent="0.2">
      <c r="A67" s="91" t="s">
        <v>150</v>
      </c>
      <c r="D67" s="143"/>
    </row>
    <row r="68" spans="1:5" x14ac:dyDescent="0.2">
      <c r="A68" s="144" t="s">
        <v>151</v>
      </c>
      <c r="B68" s="145"/>
      <c r="C68" s="145"/>
      <c r="D68" s="146"/>
      <c r="E68" s="145"/>
    </row>
    <row r="69" spans="1:5" ht="15.75" customHeight="1" x14ac:dyDescent="0.2">
      <c r="A69" s="97" t="s">
        <v>152</v>
      </c>
      <c r="B69" s="147"/>
      <c r="C69" s="148"/>
      <c r="D69" s="143"/>
    </row>
    <row r="70" spans="1:5" ht="31.5" customHeight="1" x14ac:dyDescent="0.2">
      <c r="A70" s="149" t="s">
        <v>153</v>
      </c>
      <c r="B70" s="147"/>
      <c r="C70" s="148"/>
      <c r="D70" s="143"/>
    </row>
    <row r="71" spans="1:5" ht="15.75" customHeight="1" x14ac:dyDescent="0.2">
      <c r="A71" s="97" t="s">
        <v>154</v>
      </c>
      <c r="B71" s="147"/>
      <c r="C71" s="150"/>
    </row>
    <row r="72" spans="1:5" ht="15.75" customHeight="1" x14ac:dyDescent="0.2">
      <c r="A72" s="97" t="s">
        <v>155</v>
      </c>
      <c r="B72" s="147"/>
      <c r="C72" s="151"/>
    </row>
    <row r="73" spans="1:5" ht="15.75" customHeight="1" x14ac:dyDescent="0.2">
      <c r="A73" s="97" t="s">
        <v>156</v>
      </c>
      <c r="B73" s="147"/>
      <c r="C73" s="152"/>
    </row>
    <row r="74" spans="1:5" ht="15.75" customHeight="1" x14ac:dyDescent="0.2">
      <c r="A74" s="97" t="s">
        <v>157</v>
      </c>
      <c r="B74" s="147"/>
      <c r="C74" s="152"/>
    </row>
    <row r="75" spans="1:5" ht="15.75" customHeight="1" x14ac:dyDescent="0.2">
      <c r="A75" s="97" t="s">
        <v>158</v>
      </c>
      <c r="B75" s="147"/>
      <c r="C75" s="152"/>
    </row>
  </sheetData>
  <mergeCells count="4">
    <mergeCell ref="B8:D8"/>
    <mergeCell ref="B10:D10"/>
    <mergeCell ref="B11:D11"/>
    <mergeCell ref="E21:E2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3"/>
  <sheetViews>
    <sheetView showGridLines="0" zoomScaleNormal="100" workbookViewId="0">
      <selection activeCell="A9" sqref="A9:C9"/>
    </sheetView>
  </sheetViews>
  <sheetFormatPr baseColWidth="10" defaultColWidth="8.6640625" defaultRowHeight="15" x14ac:dyDescent="0.2"/>
  <cols>
    <col min="1" max="1" width="52.5" style="14" customWidth="1"/>
    <col min="2" max="2" width="19" style="125" customWidth="1"/>
    <col min="3" max="3" width="46" style="14" customWidth="1"/>
    <col min="4" max="4" width="29" style="14" customWidth="1"/>
    <col min="5" max="5" width="20.5" style="14" customWidth="1"/>
    <col min="6" max="7" width="14.5" style="14" customWidth="1"/>
    <col min="8" max="8" width="29.5" style="14" customWidth="1"/>
    <col min="9" max="9" width="14.5" style="14" customWidth="1"/>
    <col min="10" max="11" width="8.6640625" style="14"/>
    <col min="12" max="12" width="19.5" style="14" customWidth="1"/>
    <col min="13" max="13" width="17.5" style="14" customWidth="1"/>
    <col min="14" max="16384" width="8.6640625" style="14"/>
  </cols>
  <sheetData>
    <row r="1" spans="1:3" ht="39.75" customHeight="1" x14ac:dyDescent="0.3">
      <c r="A1" s="59" t="s">
        <v>159</v>
      </c>
    </row>
    <row r="2" spans="1:3" ht="15" customHeight="1" x14ac:dyDescent="0.3">
      <c r="A2" s="59"/>
    </row>
    <row r="3" spans="1:3" ht="18.75" customHeight="1" x14ac:dyDescent="0.25">
      <c r="A3" s="153"/>
      <c r="B3" s="154"/>
      <c r="C3" s="20"/>
    </row>
    <row r="4" spans="1:3" x14ac:dyDescent="0.2">
      <c r="A4" s="155" t="s">
        <v>160</v>
      </c>
      <c r="B4" s="156"/>
      <c r="C4" s="157"/>
    </row>
    <row r="5" spans="1:3" x14ac:dyDescent="0.2">
      <c r="A5" s="155" t="s">
        <v>161</v>
      </c>
      <c r="B5" s="156"/>
      <c r="C5" s="23"/>
    </row>
    <row r="6" spans="1:3" x14ac:dyDescent="0.2">
      <c r="A6" s="155" t="s">
        <v>162</v>
      </c>
      <c r="B6" s="156"/>
      <c r="C6" s="23"/>
    </row>
    <row r="7" spans="1:3" ht="15.75" customHeight="1" x14ac:dyDescent="0.2">
      <c r="A7" s="158"/>
      <c r="B7" s="159"/>
      <c r="C7" s="27"/>
    </row>
    <row r="8" spans="1:3" ht="15" customHeight="1" x14ac:dyDescent="0.2"/>
    <row r="9" spans="1:3" ht="30" customHeight="1" x14ac:dyDescent="0.2">
      <c r="A9" s="10" t="s">
        <v>163</v>
      </c>
      <c r="B9" s="10"/>
      <c r="C9" s="10"/>
    </row>
    <row r="10" spans="1:3" ht="30" customHeight="1" x14ac:dyDescent="0.2">
      <c r="A10" s="96" t="s">
        <v>164</v>
      </c>
      <c r="B10" s="161" t="s">
        <v>165</v>
      </c>
      <c r="C10" s="162" t="s">
        <v>166</v>
      </c>
    </row>
    <row r="11" spans="1:3" x14ac:dyDescent="0.2">
      <c r="A11" s="163" t="s">
        <v>167</v>
      </c>
      <c r="B11" s="164"/>
      <c r="C11" s="165"/>
    </row>
    <row r="12" spans="1:3" x14ac:dyDescent="0.2">
      <c r="A12" s="166" t="s">
        <v>168</v>
      </c>
      <c r="B12" s="164"/>
      <c r="C12" s="165"/>
    </row>
    <row r="13" spans="1:3" x14ac:dyDescent="0.2">
      <c r="A13" s="166" t="s">
        <v>169</v>
      </c>
      <c r="B13" s="164"/>
      <c r="C13" s="167"/>
    </row>
    <row r="14" spans="1:3" x14ac:dyDescent="0.2">
      <c r="A14" s="116" t="s">
        <v>170</v>
      </c>
      <c r="B14" s="164"/>
      <c r="C14" s="168"/>
    </row>
    <row r="15" spans="1:3" x14ac:dyDescent="0.2">
      <c r="A15" s="116" t="s">
        <v>171</v>
      </c>
      <c r="B15" s="164"/>
      <c r="C15" s="168"/>
    </row>
    <row r="16" spans="1:3" ht="30" customHeight="1" x14ac:dyDescent="0.2">
      <c r="A16" s="169" t="s">
        <v>164</v>
      </c>
      <c r="B16" s="170" t="s">
        <v>172</v>
      </c>
      <c r="C16" s="171"/>
    </row>
    <row r="17" spans="1:4" x14ac:dyDescent="0.2">
      <c r="A17" s="116" t="s">
        <v>173</v>
      </c>
      <c r="B17" s="172"/>
      <c r="C17" s="173"/>
    </row>
    <row r="18" spans="1:4" x14ac:dyDescent="0.2">
      <c r="A18" s="174" t="s">
        <v>174</v>
      </c>
      <c r="B18" s="172"/>
      <c r="C18" s="175"/>
    </row>
    <row r="19" spans="1:4" x14ac:dyDescent="0.2">
      <c r="A19" s="174" t="s">
        <v>175</v>
      </c>
      <c r="B19" s="176"/>
      <c r="C19" s="175"/>
    </row>
    <row r="20" spans="1:4" ht="15" customHeight="1" x14ac:dyDescent="0.2">
      <c r="A20" s="177" t="s">
        <v>176</v>
      </c>
      <c r="B20" s="164"/>
      <c r="C20" s="131"/>
    </row>
    <row r="21" spans="1:4" x14ac:dyDescent="0.2">
      <c r="A21" s="178"/>
      <c r="B21" s="179"/>
      <c r="C21" s="180"/>
    </row>
    <row r="22" spans="1:4" ht="30" customHeight="1" x14ac:dyDescent="0.2">
      <c r="A22" s="181" t="s">
        <v>177</v>
      </c>
      <c r="B22" s="182"/>
      <c r="C22" s="183"/>
    </row>
    <row r="23" spans="1:4" ht="30" customHeight="1" x14ac:dyDescent="0.2">
      <c r="A23" s="184" t="s">
        <v>178</v>
      </c>
      <c r="B23" s="185" t="s">
        <v>179</v>
      </c>
      <c r="C23" s="186" t="s">
        <v>166</v>
      </c>
    </row>
    <row r="24" spans="1:4" ht="15.75" customHeight="1" x14ac:dyDescent="0.2">
      <c r="A24" s="187" t="s">
        <v>180</v>
      </c>
      <c r="B24" s="188"/>
      <c r="C24" s="167"/>
    </row>
    <row r="25" spans="1:4" ht="32.25" customHeight="1" x14ac:dyDescent="0.2">
      <c r="A25" s="189" t="s">
        <v>181</v>
      </c>
      <c r="B25" s="188"/>
      <c r="C25" s="190"/>
      <c r="D25" s="191" t="s">
        <v>182</v>
      </c>
    </row>
    <row r="26" spans="1:4" ht="30" customHeight="1" x14ac:dyDescent="0.2">
      <c r="A26" s="96" t="s">
        <v>183</v>
      </c>
      <c r="B26" s="192" t="s">
        <v>100</v>
      </c>
      <c r="C26" s="96" t="s">
        <v>184</v>
      </c>
    </row>
    <row r="27" spans="1:4" ht="15.75" customHeight="1" x14ac:dyDescent="0.2">
      <c r="A27" s="97" t="s">
        <v>185</v>
      </c>
      <c r="B27" s="193"/>
      <c r="C27" s="194">
        <f>(B27/100)*B24</f>
        <v>0</v>
      </c>
    </row>
    <row r="28" spans="1:4" ht="15.75" customHeight="1" x14ac:dyDescent="0.2">
      <c r="A28" s="97" t="s">
        <v>186</v>
      </c>
      <c r="B28" s="193"/>
      <c r="C28" s="194">
        <f>(B28/100)*B24</f>
        <v>0</v>
      </c>
    </row>
    <row r="29" spans="1:4" ht="15.75" customHeight="1" x14ac:dyDescent="0.2">
      <c r="A29" s="97" t="s">
        <v>187</v>
      </c>
      <c r="B29" s="193"/>
      <c r="C29" s="194">
        <f>(B29/100)*B24</f>
        <v>0</v>
      </c>
    </row>
    <row r="30" spans="1:4" x14ac:dyDescent="0.2">
      <c r="A30" s="174" t="s">
        <v>188</v>
      </c>
      <c r="B30" s="193"/>
      <c r="C30" s="194">
        <f>(B30/100)*B24</f>
        <v>0</v>
      </c>
    </row>
    <row r="31" spans="1:4" ht="15.75" customHeight="1" x14ac:dyDescent="0.2">
      <c r="A31" s="97" t="s">
        <v>189</v>
      </c>
      <c r="B31" s="193"/>
      <c r="C31" s="194">
        <f>(B31/100)*B24</f>
        <v>0</v>
      </c>
    </row>
    <row r="32" spans="1:4" ht="15.75" customHeight="1" x14ac:dyDescent="0.2">
      <c r="A32" s="97" t="s">
        <v>190</v>
      </c>
      <c r="B32" s="193"/>
      <c r="C32" s="194">
        <f>(B32/100)*B24</f>
        <v>0</v>
      </c>
    </row>
    <row r="33" spans="1:4" ht="15.75" customHeight="1" x14ac:dyDescent="0.2">
      <c r="A33" s="118" t="s">
        <v>191</v>
      </c>
      <c r="B33" s="193"/>
      <c r="C33" s="194">
        <f>(B33/100)*B24</f>
        <v>0</v>
      </c>
    </row>
    <row r="34" spans="1:4" x14ac:dyDescent="0.2">
      <c r="A34" s="116" t="s">
        <v>192</v>
      </c>
      <c r="B34" s="193"/>
      <c r="C34" s="194">
        <f>(B34/100)*B24</f>
        <v>0</v>
      </c>
    </row>
    <row r="35" spans="1:4" x14ac:dyDescent="0.2">
      <c r="A35" s="174" t="s">
        <v>193</v>
      </c>
      <c r="B35" s="193"/>
      <c r="C35" s="195">
        <f>(B35/100)*B24</f>
        <v>0</v>
      </c>
    </row>
    <row r="36" spans="1:4" x14ac:dyDescent="0.2">
      <c r="A36" s="196" t="s">
        <v>194</v>
      </c>
      <c r="B36" s="197">
        <f>SUM(B27:B35)</f>
        <v>0</v>
      </c>
      <c r="C36" s="198">
        <f>(B36/100)*B24</f>
        <v>0</v>
      </c>
    </row>
    <row r="37" spans="1:4" x14ac:dyDescent="0.2">
      <c r="A37" s="196" t="s">
        <v>195</v>
      </c>
      <c r="B37" s="197">
        <f>B27+B28+B29+B30</f>
        <v>0</v>
      </c>
      <c r="C37" s="199">
        <f>(B37/100)*B24</f>
        <v>0</v>
      </c>
    </row>
    <row r="38" spans="1:4" ht="30" customHeight="1" x14ac:dyDescent="0.2">
      <c r="A38" s="129" t="s">
        <v>196</v>
      </c>
      <c r="B38" s="200" t="s">
        <v>179</v>
      </c>
      <c r="C38" s="129" t="s">
        <v>166</v>
      </c>
    </row>
    <row r="39" spans="1:4" ht="15.75" customHeight="1" x14ac:dyDescent="0.2">
      <c r="A39" s="187" t="s">
        <v>197</v>
      </c>
      <c r="B39" s="201"/>
      <c r="C39" s="167"/>
    </row>
    <row r="40" spans="1:4" ht="49.5" customHeight="1" x14ac:dyDescent="0.2">
      <c r="A40" s="187" t="s">
        <v>198</v>
      </c>
      <c r="B40" s="201"/>
      <c r="C40" s="167"/>
      <c r="D40" s="191" t="s">
        <v>199</v>
      </c>
    </row>
    <row r="41" spans="1:4" ht="30" customHeight="1" x14ac:dyDescent="0.2">
      <c r="A41" s="202" t="s">
        <v>200</v>
      </c>
      <c r="B41" s="203" t="s">
        <v>100</v>
      </c>
      <c r="C41" s="204" t="s">
        <v>201</v>
      </c>
    </row>
    <row r="42" spans="1:4" ht="15.75" customHeight="1" x14ac:dyDescent="0.2">
      <c r="A42" s="97" t="s">
        <v>186</v>
      </c>
      <c r="B42" s="193"/>
      <c r="C42" s="205">
        <f>(B42/100)*B39</f>
        <v>0</v>
      </c>
    </row>
    <row r="43" spans="1:4" ht="15.75" customHeight="1" x14ac:dyDescent="0.2">
      <c r="A43" s="97" t="s">
        <v>187</v>
      </c>
      <c r="B43" s="193"/>
      <c r="C43" s="194">
        <f>(B43/100)*B39</f>
        <v>0</v>
      </c>
    </row>
    <row r="44" spans="1:4" x14ac:dyDescent="0.2">
      <c r="A44" s="174" t="s">
        <v>202</v>
      </c>
      <c r="B44" s="193"/>
      <c r="C44" s="194">
        <f>(B44/100)*B39</f>
        <v>0</v>
      </c>
    </row>
    <row r="45" spans="1:4" ht="15.75" customHeight="1" x14ac:dyDescent="0.2">
      <c r="A45" s="97" t="s">
        <v>190</v>
      </c>
      <c r="B45" s="193"/>
      <c r="C45" s="194">
        <f>(B45/100)*B39</f>
        <v>0</v>
      </c>
    </row>
    <row r="46" spans="1:4" x14ac:dyDescent="0.2">
      <c r="A46" s="174" t="s">
        <v>188</v>
      </c>
      <c r="B46" s="193"/>
      <c r="C46" s="206">
        <f>(B46/100)*B39</f>
        <v>0</v>
      </c>
    </row>
    <row r="47" spans="1:4" x14ac:dyDescent="0.2">
      <c r="A47" s="174" t="s">
        <v>203</v>
      </c>
      <c r="B47" s="193"/>
      <c r="C47" s="195">
        <f>(B47/100)*B39</f>
        <v>0</v>
      </c>
    </row>
    <row r="48" spans="1:4" ht="15.75" customHeight="1" x14ac:dyDescent="0.2">
      <c r="A48" s="118" t="s">
        <v>191</v>
      </c>
      <c r="B48" s="193"/>
      <c r="C48" s="194">
        <f>(B48/100)*B39</f>
        <v>0</v>
      </c>
    </row>
    <row r="49" spans="1:4" x14ac:dyDescent="0.2">
      <c r="A49" s="116" t="s">
        <v>192</v>
      </c>
      <c r="B49" s="193"/>
      <c r="C49" s="194">
        <f>(B49/100)*B39</f>
        <v>0</v>
      </c>
    </row>
    <row r="50" spans="1:4" x14ac:dyDescent="0.2">
      <c r="A50" s="174" t="s">
        <v>193</v>
      </c>
      <c r="B50" s="193"/>
      <c r="C50" s="194">
        <f>(B50/100)*B39</f>
        <v>0</v>
      </c>
    </row>
    <row r="51" spans="1:4" x14ac:dyDescent="0.2">
      <c r="A51" s="207" t="s">
        <v>194</v>
      </c>
      <c r="B51" s="208">
        <f>SUM(B42:B50)</f>
        <v>0</v>
      </c>
      <c r="C51" s="209"/>
    </row>
    <row r="52" spans="1:4" x14ac:dyDescent="0.2">
      <c r="A52" s="196" t="s">
        <v>204</v>
      </c>
      <c r="B52" s="197">
        <f>B42+B43+(0.5*B47)+B44+B46</f>
        <v>0</v>
      </c>
      <c r="C52" s="198">
        <f>(B52/100)*B39</f>
        <v>0</v>
      </c>
    </row>
    <row r="53" spans="1:4" ht="30" customHeight="1" x14ac:dyDescent="0.2">
      <c r="A53" s="129" t="s">
        <v>96</v>
      </c>
      <c r="B53" s="200" t="s">
        <v>179</v>
      </c>
      <c r="C53" s="129" t="s">
        <v>166</v>
      </c>
    </row>
    <row r="54" spans="1:4" ht="14.25" customHeight="1" x14ac:dyDescent="0.2">
      <c r="A54" s="97" t="s">
        <v>205</v>
      </c>
      <c r="B54" s="201"/>
      <c r="C54" s="84"/>
    </row>
    <row r="55" spans="1:4" ht="32.25" customHeight="1" x14ac:dyDescent="0.2">
      <c r="A55" s="97" t="s">
        <v>206</v>
      </c>
      <c r="B55" s="193"/>
      <c r="C55" s="84"/>
    </row>
    <row r="56" spans="1:4" x14ac:dyDescent="0.2">
      <c r="A56" s="196" t="s">
        <v>194</v>
      </c>
      <c r="B56" s="210"/>
      <c r="C56" s="198"/>
    </row>
    <row r="57" spans="1:4" x14ac:dyDescent="0.2">
      <c r="B57" s="14"/>
    </row>
    <row r="58" spans="1:4" x14ac:dyDescent="0.2">
      <c r="B58" s="14"/>
    </row>
    <row r="59" spans="1:4" x14ac:dyDescent="0.2">
      <c r="A59" s="28" t="s">
        <v>207</v>
      </c>
    </row>
    <row r="60" spans="1:4" x14ac:dyDescent="0.2">
      <c r="A60" s="211"/>
      <c r="B60" s="212"/>
      <c r="C60" s="212"/>
      <c r="D60" s="212"/>
    </row>
    <row r="61" spans="1:4" ht="15.75" customHeight="1" x14ac:dyDescent="0.2">
      <c r="A61" s="213" t="s">
        <v>164</v>
      </c>
      <c r="B61" s="170" t="s">
        <v>165</v>
      </c>
      <c r="C61" s="200" t="s">
        <v>208</v>
      </c>
      <c r="D61" s="214" t="s">
        <v>209</v>
      </c>
    </row>
    <row r="62" spans="1:4" x14ac:dyDescent="0.2">
      <c r="A62" s="174" t="s">
        <v>167</v>
      </c>
      <c r="B62" s="215">
        <f>B11</f>
        <v>0</v>
      </c>
      <c r="C62" s="216">
        <f>(43.2*0.834*(B62/1000))*0.2778</f>
        <v>0</v>
      </c>
      <c r="D62" s="217">
        <f>0.03*C62</f>
        <v>0</v>
      </c>
    </row>
    <row r="63" spans="1:4" x14ac:dyDescent="0.2">
      <c r="A63" s="174" t="s">
        <v>168</v>
      </c>
      <c r="B63" s="215">
        <f>B12</f>
        <v>0</v>
      </c>
      <c r="C63" s="216">
        <f>(42.8*0.806*(B63/1000))*0.2778</f>
        <v>0</v>
      </c>
      <c r="D63" s="217">
        <f>0.12*C63</f>
        <v>0</v>
      </c>
    </row>
    <row r="64" spans="1:4" x14ac:dyDescent="0.2">
      <c r="A64" s="174" t="s">
        <v>169</v>
      </c>
      <c r="B64" s="215">
        <f>B13</f>
        <v>0</v>
      </c>
      <c r="C64" s="218">
        <f>(41.9*0.745*(B64/1000))*0.2778</f>
        <v>0</v>
      </c>
      <c r="D64" s="217">
        <f>0.105*C64</f>
        <v>0</v>
      </c>
    </row>
    <row r="65" spans="1:5" x14ac:dyDescent="0.2">
      <c r="A65" s="116" t="s">
        <v>171</v>
      </c>
      <c r="B65" s="215">
        <f>B15</f>
        <v>0</v>
      </c>
      <c r="C65" s="219">
        <f>(43.8*0.78*(B65/1000))*0.2778</f>
        <v>0</v>
      </c>
      <c r="D65" s="217">
        <f>C65</f>
        <v>0</v>
      </c>
    </row>
    <row r="66" spans="1:5" x14ac:dyDescent="0.2">
      <c r="A66" s="28" t="s">
        <v>170</v>
      </c>
      <c r="B66" s="215">
        <f>B14</f>
        <v>0</v>
      </c>
      <c r="C66" s="216">
        <f>(43.2*0.834*(B66/1000))*0.2778</f>
        <v>0</v>
      </c>
      <c r="D66" s="220">
        <f>C66</f>
        <v>0</v>
      </c>
    </row>
    <row r="67" spans="1:5" ht="18" customHeight="1" x14ac:dyDescent="0.2">
      <c r="A67" s="213" t="s">
        <v>164</v>
      </c>
      <c r="B67" s="170" t="s">
        <v>210</v>
      </c>
      <c r="C67" s="221"/>
      <c r="D67" s="222"/>
    </row>
    <row r="68" spans="1:5" x14ac:dyDescent="0.2">
      <c r="A68" s="174" t="s">
        <v>173</v>
      </c>
      <c r="B68" s="215">
        <f>B17</f>
        <v>0</v>
      </c>
      <c r="C68" s="223">
        <f>((49.3*B68)/1000)*0.2778</f>
        <v>0</v>
      </c>
      <c r="D68" s="217">
        <v>0</v>
      </c>
    </row>
    <row r="69" spans="1:5" x14ac:dyDescent="0.2">
      <c r="A69" s="174" t="s">
        <v>174</v>
      </c>
      <c r="B69" s="215">
        <f>B18</f>
        <v>0</v>
      </c>
      <c r="C69" s="224">
        <f>((46.3*B69)/1000)*0.2778</f>
        <v>0</v>
      </c>
      <c r="D69" s="217">
        <v>0</v>
      </c>
    </row>
    <row r="70" spans="1:5" x14ac:dyDescent="0.2">
      <c r="A70" s="174" t="s">
        <v>175</v>
      </c>
      <c r="B70" s="215">
        <f>B19</f>
        <v>0</v>
      </c>
      <c r="C70" s="224">
        <f>((46.3*B70)/1000)*0.2778</f>
        <v>0</v>
      </c>
      <c r="D70" s="217">
        <v>0</v>
      </c>
    </row>
    <row r="71" spans="1:5" ht="16.5" customHeight="1" x14ac:dyDescent="0.2">
      <c r="A71" s="174" t="s">
        <v>176</v>
      </c>
      <c r="B71" s="225">
        <f>B20</f>
        <v>0</v>
      </c>
      <c r="C71" s="223">
        <f>(9.5*0.3*B71*0.2778)</f>
        <v>0</v>
      </c>
      <c r="D71" s="226">
        <f>C71</f>
        <v>0</v>
      </c>
      <c r="E71" s="227"/>
    </row>
    <row r="72" spans="1:5" x14ac:dyDescent="0.2">
      <c r="A72" s="228" t="s">
        <v>194</v>
      </c>
      <c r="B72" s="229"/>
      <c r="C72" s="230">
        <f>C62+C63+C64+C65+C66+C68+C69+C70+C71</f>
        <v>0</v>
      </c>
      <c r="D72" s="210">
        <f>D62+D63+D64+D65+D66+D68+D69+D70+D71</f>
        <v>0</v>
      </c>
    </row>
    <row r="73" spans="1:5" x14ac:dyDescent="0.2">
      <c r="A73" s="231" t="s">
        <v>211</v>
      </c>
      <c r="B73" s="232"/>
      <c r="C73" s="233"/>
      <c r="D73" s="234" t="str">
        <f>IFERROR(D72/C72,"")</f>
        <v/>
      </c>
    </row>
    <row r="74" spans="1:5" x14ac:dyDescent="0.2">
      <c r="B74" s="14"/>
    </row>
    <row r="75" spans="1:5" x14ac:dyDescent="0.2">
      <c r="B75" s="14"/>
    </row>
    <row r="76" spans="1:5" x14ac:dyDescent="0.2">
      <c r="B76" s="14"/>
    </row>
    <row r="77" spans="1:5" x14ac:dyDescent="0.2">
      <c r="B77" s="14"/>
    </row>
    <row r="78" spans="1:5" x14ac:dyDescent="0.2">
      <c r="B78" s="14"/>
    </row>
    <row r="79" spans="1:5" x14ac:dyDescent="0.2">
      <c r="B79" s="14"/>
    </row>
    <row r="80" spans="1:5" x14ac:dyDescent="0.2">
      <c r="B80" s="14"/>
    </row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</sheetData>
  <mergeCells count="1">
    <mergeCell ref="A9:C9"/>
  </mergeCells>
  <pageMargins left="0.7" right="0.7" top="0.75" bottom="0.75" header="0.511811023622047" footer="0.511811023622047"/>
  <pageSetup paperSize="9" orientation="landscape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97"/>
  <sheetViews>
    <sheetView showGridLines="0" zoomScale="80" zoomScaleNormal="80" workbookViewId="0">
      <selection activeCell="B18" sqref="B18"/>
    </sheetView>
  </sheetViews>
  <sheetFormatPr baseColWidth="10" defaultColWidth="8.6640625" defaultRowHeight="15" x14ac:dyDescent="0.2"/>
  <cols>
    <col min="1" max="1" width="52" style="235" customWidth="1"/>
    <col min="2" max="2" width="23.6640625" style="124" customWidth="1"/>
    <col min="3" max="3" width="29.5" style="124" customWidth="1"/>
    <col min="4" max="4" width="40" style="124" customWidth="1"/>
    <col min="5" max="5" width="15.6640625" style="124" customWidth="1"/>
    <col min="6" max="6" width="55.6640625" style="124" customWidth="1"/>
    <col min="7" max="7" width="18" style="124" customWidth="1"/>
    <col min="8" max="8" width="24.6640625" style="124" customWidth="1"/>
    <col min="9" max="10" width="14.5" style="124" customWidth="1"/>
    <col min="11" max="11" width="29.5" style="124" customWidth="1"/>
    <col min="12" max="12" width="14.5" style="124" customWidth="1"/>
    <col min="13" max="14" width="8.6640625" style="124"/>
    <col min="15" max="15" width="19.5" style="124" customWidth="1"/>
    <col min="16" max="16" width="17.5" style="124" customWidth="1"/>
    <col min="17" max="16384" width="8.6640625" style="124"/>
  </cols>
  <sheetData>
    <row r="1" spans="1:13" ht="39.75" customHeight="1" x14ac:dyDescent="0.3">
      <c r="A1" s="9" t="s">
        <v>212</v>
      </c>
      <c r="B1" s="9"/>
      <c r="C1" s="236"/>
    </row>
    <row r="2" spans="1:13" ht="15" customHeight="1" x14ac:dyDescent="0.2">
      <c r="A2" s="237"/>
      <c r="B2" s="236"/>
      <c r="C2" s="236"/>
    </row>
    <row r="3" spans="1:13" ht="18.75" customHeight="1" x14ac:dyDescent="0.2">
      <c r="A3" s="238"/>
      <c r="B3" s="239"/>
      <c r="C3" s="240"/>
    </row>
    <row r="4" spans="1:13" x14ac:dyDescent="0.2">
      <c r="A4" s="241" t="s">
        <v>213</v>
      </c>
      <c r="B4" s="242"/>
      <c r="C4" s="243"/>
      <c r="D4" s="235"/>
    </row>
    <row r="5" spans="1:13" ht="13.5" customHeight="1" x14ac:dyDescent="0.2">
      <c r="A5" s="241" t="s">
        <v>214</v>
      </c>
      <c r="B5" s="244"/>
      <c r="C5" s="245"/>
      <c r="D5" s="246"/>
    </row>
    <row r="6" spans="1:13" ht="15.75" customHeight="1" x14ac:dyDescent="0.2">
      <c r="A6" s="247"/>
      <c r="B6" s="248"/>
      <c r="C6" s="249"/>
      <c r="D6" s="235"/>
    </row>
    <row r="7" spans="1:13" ht="15" customHeight="1" x14ac:dyDescent="0.2">
      <c r="A7" s="250"/>
      <c r="B7" s="236"/>
      <c r="C7" s="236"/>
    </row>
    <row r="8" spans="1:13" ht="43.5" customHeight="1" x14ac:dyDescent="0.2">
      <c r="A8" s="8" t="s">
        <v>215</v>
      </c>
      <c r="B8" s="8"/>
      <c r="C8" s="8"/>
      <c r="D8" s="251"/>
      <c r="E8" s="251"/>
      <c r="J8" s="252"/>
      <c r="K8" s="252"/>
      <c r="M8" s="252"/>
    </row>
    <row r="9" spans="1:13" ht="24.75" customHeight="1" x14ac:dyDescent="0.2">
      <c r="A9" s="253" t="s">
        <v>164</v>
      </c>
      <c r="B9" s="254" t="s">
        <v>216</v>
      </c>
      <c r="C9" s="254" t="s">
        <v>217</v>
      </c>
      <c r="D9" s="255"/>
      <c r="E9" s="256"/>
    </row>
    <row r="10" spans="1:13" ht="15.75" customHeight="1" x14ac:dyDescent="0.2">
      <c r="A10" s="165" t="s">
        <v>218</v>
      </c>
      <c r="B10" s="257">
        <f>'C.'!B11*D.!B78</f>
        <v>0</v>
      </c>
      <c r="C10" s="258" t="str">
        <f>IFERROR(B10/B28,"")</f>
        <v/>
      </c>
      <c r="D10" s="259"/>
      <c r="E10" s="260"/>
    </row>
    <row r="11" spans="1:13" ht="15.75" customHeight="1" x14ac:dyDescent="0.2">
      <c r="A11" s="165" t="s">
        <v>219</v>
      </c>
      <c r="B11" s="257">
        <f>'C.'!B12*D.!B79</f>
        <v>0</v>
      </c>
      <c r="C11" s="258" t="str">
        <f>IFERROR(B11/B28,"")</f>
        <v/>
      </c>
      <c r="D11" s="259"/>
      <c r="E11" s="260"/>
    </row>
    <row r="12" spans="1:13" ht="15.75" customHeight="1" x14ac:dyDescent="0.2">
      <c r="A12" s="165" t="s">
        <v>220</v>
      </c>
      <c r="B12" s="257">
        <f>'C.'!B13*D.!B80</f>
        <v>0</v>
      </c>
      <c r="C12" s="258" t="str">
        <f>IFERROR(B12/B28,"")</f>
        <v/>
      </c>
      <c r="D12" s="259"/>
      <c r="E12" s="260"/>
    </row>
    <row r="13" spans="1:13" ht="15.75" customHeight="1" x14ac:dyDescent="0.2">
      <c r="A13" s="123" t="s">
        <v>170</v>
      </c>
      <c r="B13" s="257">
        <f>'C.'!B14*D.!B81</f>
        <v>0</v>
      </c>
      <c r="C13" s="258" t="str">
        <f>IFERROR(B13/B28,"")</f>
        <v/>
      </c>
      <c r="D13" s="259"/>
      <c r="E13" s="260"/>
    </row>
    <row r="14" spans="1:13" ht="15.75" customHeight="1" x14ac:dyDescent="0.2">
      <c r="A14" s="116" t="s">
        <v>221</v>
      </c>
      <c r="B14" s="257">
        <f>'C.'!B15*D.!B82</f>
        <v>0</v>
      </c>
      <c r="C14" s="258" t="str">
        <f>IFERROR(B14/B28,"")</f>
        <v/>
      </c>
      <c r="D14" s="259"/>
      <c r="E14" s="260"/>
    </row>
    <row r="15" spans="1:13" ht="15.75" customHeight="1" x14ac:dyDescent="0.2">
      <c r="A15" s="123" t="s">
        <v>222</v>
      </c>
      <c r="B15" s="257">
        <f>'C.'!B17*D.!B83</f>
        <v>0</v>
      </c>
      <c r="C15" s="258" t="str">
        <f>IFERROR(B15/B28,"")</f>
        <v/>
      </c>
      <c r="D15" s="259"/>
      <c r="E15" s="260"/>
      <c r="F15" s="261"/>
      <c r="G15" s="262"/>
      <c r="H15" s="263"/>
    </row>
    <row r="16" spans="1:13" ht="15.75" customHeight="1" x14ac:dyDescent="0.2">
      <c r="A16" s="123" t="s">
        <v>223</v>
      </c>
      <c r="B16" s="257">
        <f>'C.'!B18*D.!B85</f>
        <v>0</v>
      </c>
      <c r="C16" s="258" t="str">
        <f>IFERROR(B16/B28,"")</f>
        <v/>
      </c>
      <c r="D16" s="259"/>
      <c r="E16" s="260"/>
      <c r="F16" s="261"/>
      <c r="G16" s="262"/>
      <c r="H16" s="263"/>
    </row>
    <row r="17" spans="1:17" ht="15.75" customHeight="1" x14ac:dyDescent="0.2">
      <c r="A17" s="175" t="s">
        <v>224</v>
      </c>
      <c r="B17" s="257">
        <f>'C.'!B19*D.!B84</f>
        <v>0</v>
      </c>
      <c r="C17" s="258" t="str">
        <f>IFERROR(B17/B28,"")</f>
        <v/>
      </c>
      <c r="D17" s="259"/>
      <c r="E17" s="260"/>
      <c r="F17" s="261"/>
      <c r="G17" s="262"/>
      <c r="H17" s="263"/>
    </row>
    <row r="18" spans="1:17" ht="15.75" customHeight="1" x14ac:dyDescent="0.2">
      <c r="A18" s="264" t="s">
        <v>225</v>
      </c>
      <c r="B18" s="257">
        <f>'C.'!B20*D.!B86</f>
        <v>0</v>
      </c>
      <c r="C18" s="265" t="str">
        <f>IFERROR(B18/B28,"")</f>
        <v/>
      </c>
      <c r="D18" s="259"/>
      <c r="E18" s="260"/>
      <c r="F18" s="261"/>
      <c r="G18" s="262"/>
      <c r="H18" s="263"/>
    </row>
    <row r="19" spans="1:17" ht="15.75" customHeight="1" x14ac:dyDescent="0.2">
      <c r="A19" s="266" t="s">
        <v>226</v>
      </c>
      <c r="B19" s="267">
        <f>SUM(B10:B18)</f>
        <v>0</v>
      </c>
      <c r="C19" s="268" t="str">
        <f>IFERROR(B19/B28,"")</f>
        <v/>
      </c>
      <c r="D19" s="255"/>
      <c r="E19" s="269"/>
      <c r="F19" s="261"/>
      <c r="G19" s="270"/>
    </row>
    <row r="20" spans="1:17" ht="15" customHeight="1" x14ac:dyDescent="0.2">
      <c r="A20" s="271"/>
      <c r="B20" s="272"/>
      <c r="C20" s="273"/>
      <c r="D20" s="259"/>
      <c r="E20" s="260"/>
      <c r="F20" s="261"/>
      <c r="G20" s="270"/>
    </row>
    <row r="21" spans="1:17" ht="30" customHeight="1" x14ac:dyDescent="0.2">
      <c r="A21" s="8" t="s">
        <v>227</v>
      </c>
      <c r="B21" s="8"/>
      <c r="C21" s="8"/>
      <c r="D21" s="259"/>
      <c r="E21" s="260"/>
      <c r="F21" s="261"/>
      <c r="G21" s="252"/>
    </row>
    <row r="22" spans="1:17" ht="24.75" customHeight="1" x14ac:dyDescent="0.2">
      <c r="A22" s="274" t="s">
        <v>178</v>
      </c>
      <c r="B22" s="275" t="s">
        <v>228</v>
      </c>
      <c r="C22" s="276" t="s">
        <v>217</v>
      </c>
      <c r="D22" s="277" t="s">
        <v>229</v>
      </c>
      <c r="E22" s="278"/>
      <c r="F22" s="279"/>
      <c r="G22" s="251"/>
      <c r="H22" s="280"/>
      <c r="I22" s="281"/>
      <c r="J22" s="282"/>
      <c r="Q22" s="251"/>
    </row>
    <row r="23" spans="1:17" ht="15.75" customHeight="1" x14ac:dyDescent="0.2">
      <c r="A23" s="100" t="s">
        <v>230</v>
      </c>
      <c r="B23" s="257">
        <f>IF('C.'!B25="",'C.'!B24*D.!B90,'C.'!B24*'C.'!B25)</f>
        <v>0</v>
      </c>
      <c r="C23" s="283" t="str">
        <f>IFERROR(B23/B28,"")</f>
        <v/>
      </c>
      <c r="D23" s="284" t="str">
        <f>IF('C.'!B25="","Suomen keskiarvo 38 kgCO2e/MWh (syötä toimittajan oma kerroin välilehdelle C)","Sähköntoimittajan oma kerroin")</f>
        <v>Suomen keskiarvo 38 kgCO2e/MWh (syötä toimittajan oma kerroin välilehdelle C)</v>
      </c>
      <c r="E23" s="285"/>
      <c r="F23" s="285"/>
      <c r="G23" s="251"/>
      <c r="H23" s="280"/>
      <c r="I23" s="281"/>
      <c r="J23" s="282"/>
      <c r="Q23" s="251"/>
    </row>
    <row r="24" spans="1:17" ht="15.75" customHeight="1" x14ac:dyDescent="0.2">
      <c r="A24" s="100" t="s">
        <v>231</v>
      </c>
      <c r="B24" s="257">
        <f>IF('C.'!B40="",'C.'!B39*D.!B92,'C.'!B39*'C.'!B40)</f>
        <v>0</v>
      </c>
      <c r="C24" s="283" t="str">
        <f>IFERROR(B24/B28,"")</f>
        <v/>
      </c>
      <c r="D24" s="284" t="str">
        <f>IF('C.'!B40="","Suomen keskiarvo 110 kgCO2e/MWh (syötä toimittajan oma kerroin välilehdelle C)","Kaukolämpötoimittajan oma kerroin")</f>
        <v>Suomen keskiarvo 110 kgCO2e/MWh (syötä toimittajan oma kerroin välilehdelle C)</v>
      </c>
      <c r="E24" s="286"/>
      <c r="F24" s="286"/>
      <c r="G24" s="287"/>
      <c r="J24" s="288"/>
    </row>
    <row r="25" spans="1:17" ht="15.75" customHeight="1" x14ac:dyDescent="0.2">
      <c r="A25" s="250" t="s">
        <v>96</v>
      </c>
      <c r="B25" s="257">
        <f>IF('C.'!B55="",'C.'!B54*D.!B94,'C.'!B54*'C.'!B55)</f>
        <v>0</v>
      </c>
      <c r="C25" s="283" t="str">
        <f>IFERROR(B25/B28,"")</f>
        <v/>
      </c>
      <c r="D25" s="284" t="str">
        <f>IF('C.'!B55="","Oletus 0 kgCO2e/MWh — tarkista toimittajaltasi","Toimittajan oma kerroin")</f>
        <v>Oletus 0 kgCO2e/MWh — tarkista toimittajaltasi</v>
      </c>
      <c r="E25" s="286"/>
      <c r="F25" s="286"/>
      <c r="G25" s="287"/>
      <c r="J25" s="288"/>
    </row>
    <row r="26" spans="1:17" ht="15.75" customHeight="1" x14ac:dyDescent="0.2">
      <c r="A26" s="289" t="s">
        <v>226</v>
      </c>
      <c r="B26" s="290">
        <f>SUM(B23:B25)</f>
        <v>0</v>
      </c>
      <c r="C26" s="291" t="str">
        <f>IFERROR(B26/B28,"")</f>
        <v/>
      </c>
      <c r="D26" s="292"/>
      <c r="E26" s="293"/>
      <c r="F26" s="292"/>
      <c r="G26" s="292"/>
    </row>
    <row r="27" spans="1:17" x14ac:dyDescent="0.2">
      <c r="A27" s="294"/>
      <c r="B27" s="295"/>
      <c r="C27" s="236"/>
    </row>
    <row r="28" spans="1:17" ht="24.75" customHeight="1" x14ac:dyDescent="0.2">
      <c r="A28" s="296" t="s">
        <v>232</v>
      </c>
      <c r="B28" s="297">
        <f>B19+B26</f>
        <v>0</v>
      </c>
      <c r="C28" s="298" t="s">
        <v>233</v>
      </c>
    </row>
    <row r="29" spans="1:17" ht="24.75" customHeight="1" x14ac:dyDescent="0.2">
      <c r="A29" s="294"/>
      <c r="B29" s="299">
        <f>B28/1000</f>
        <v>0</v>
      </c>
      <c r="C29" s="298" t="s">
        <v>234</v>
      </c>
    </row>
    <row r="30" spans="1:17" ht="15" customHeight="1" x14ac:dyDescent="0.2">
      <c r="A30" s="180"/>
      <c r="B30" s="300"/>
      <c r="C30" s="301"/>
    </row>
    <row r="31" spans="1:17" ht="15" customHeight="1" x14ac:dyDescent="0.2">
      <c r="A31" s="302"/>
      <c r="B31" s="303"/>
      <c r="C31" s="304"/>
    </row>
    <row r="32" spans="1:17" ht="15" customHeight="1" x14ac:dyDescent="0.2">
      <c r="A32" s="305" t="s">
        <v>235</v>
      </c>
      <c r="B32" s="306"/>
      <c r="C32" s="157"/>
    </row>
    <row r="33" spans="1:4" ht="15" customHeight="1" x14ac:dyDescent="0.2">
      <c r="A33" s="307" t="s">
        <v>236</v>
      </c>
      <c r="B33" s="308">
        <f>B28/0.152</f>
        <v>0</v>
      </c>
      <c r="C33" s="157" t="s">
        <v>237</v>
      </c>
    </row>
    <row r="34" spans="1:4" ht="22.5" customHeight="1" x14ac:dyDescent="0.2">
      <c r="A34" s="307" t="s">
        <v>238</v>
      </c>
      <c r="B34" s="308">
        <f>B28/10300</f>
        <v>0</v>
      </c>
      <c r="C34" s="157" t="s">
        <v>239</v>
      </c>
    </row>
    <row r="35" spans="1:4" ht="27" customHeight="1" x14ac:dyDescent="0.2">
      <c r="A35" s="307" t="s">
        <v>240</v>
      </c>
      <c r="B35" s="308">
        <f>B28/3700</f>
        <v>0</v>
      </c>
      <c r="C35" s="157" t="s">
        <v>241</v>
      </c>
    </row>
    <row r="36" spans="1:4" ht="15" customHeight="1" x14ac:dyDescent="0.2">
      <c r="A36" s="309"/>
      <c r="B36" s="306"/>
      <c r="C36" s="157"/>
      <c r="D36" s="287"/>
    </row>
    <row r="37" spans="1:4" ht="15" customHeight="1" x14ac:dyDescent="0.2">
      <c r="A37" s="7" t="s">
        <v>242</v>
      </c>
      <c r="B37" s="7"/>
      <c r="C37" s="7"/>
      <c r="D37" s="287"/>
    </row>
    <row r="38" spans="1:4" ht="15" customHeight="1" x14ac:dyDescent="0.2">
      <c r="A38" s="7"/>
      <c r="B38" s="7"/>
      <c r="C38" s="7"/>
    </row>
    <row r="39" spans="1:4" ht="15" customHeight="1" x14ac:dyDescent="0.2">
      <c r="A39" s="7"/>
      <c r="B39" s="7"/>
      <c r="C39" s="7"/>
    </row>
    <row r="40" spans="1:4" ht="15" customHeight="1" x14ac:dyDescent="0.2">
      <c r="A40" s="7"/>
      <c r="B40" s="7"/>
      <c r="C40" s="7"/>
      <c r="D40" s="310"/>
    </row>
    <row r="41" spans="1:4" ht="15" customHeight="1" x14ac:dyDescent="0.2">
      <c r="A41" s="7"/>
      <c r="B41" s="7"/>
      <c r="C41" s="7"/>
    </row>
    <row r="42" spans="1:4" ht="15" customHeight="1" x14ac:dyDescent="0.2">
      <c r="A42" s="180"/>
      <c r="B42" s="300"/>
      <c r="C42" s="301"/>
    </row>
    <row r="43" spans="1:4" ht="15" customHeight="1" x14ac:dyDescent="0.2">
      <c r="A43" s="311" t="s">
        <v>243</v>
      </c>
      <c r="B43" s="300"/>
      <c r="C43" s="301"/>
    </row>
    <row r="76" spans="1:6" ht="24.75" customHeight="1" x14ac:dyDescent="0.2">
      <c r="A76" s="71" t="s">
        <v>244</v>
      </c>
    </row>
    <row r="77" spans="1:6" ht="24.75" customHeight="1" x14ac:dyDescent="0.2">
      <c r="A77" s="129" t="s">
        <v>245</v>
      </c>
      <c r="B77" s="170" t="s">
        <v>246</v>
      </c>
      <c r="C77" s="312"/>
      <c r="D77" s="313" t="s">
        <v>247</v>
      </c>
      <c r="E77" s="314" t="s">
        <v>248</v>
      </c>
    </row>
    <row r="78" spans="1:6" ht="15.75" customHeight="1" x14ac:dyDescent="0.2">
      <c r="A78" s="315" t="s">
        <v>249</v>
      </c>
      <c r="B78" s="316">
        <v>2.44</v>
      </c>
      <c r="C78" s="317" t="s">
        <v>250</v>
      </c>
      <c r="D78" s="318" t="s">
        <v>251</v>
      </c>
      <c r="E78" s="314" t="s">
        <v>252</v>
      </c>
      <c r="F78" s="319"/>
    </row>
    <row r="79" spans="1:6" ht="15.75" customHeight="1" x14ac:dyDescent="0.2">
      <c r="A79" s="97" t="s">
        <v>253</v>
      </c>
      <c r="B79" s="320">
        <v>2.02</v>
      </c>
      <c r="C79" s="317" t="s">
        <v>250</v>
      </c>
      <c r="D79" s="321" t="s">
        <v>254</v>
      </c>
      <c r="E79" s="314" t="s">
        <v>252</v>
      </c>
      <c r="F79" s="322"/>
    </row>
    <row r="80" spans="1:6" ht="15.75" customHeight="1" x14ac:dyDescent="0.2">
      <c r="A80" s="97" t="s">
        <v>255</v>
      </c>
      <c r="B80" s="320">
        <v>2.25</v>
      </c>
      <c r="C80" s="317" t="s">
        <v>250</v>
      </c>
      <c r="D80" s="321" t="s">
        <v>254</v>
      </c>
      <c r="E80" s="314" t="s">
        <v>252</v>
      </c>
      <c r="F80" s="322"/>
    </row>
    <row r="81" spans="1:6" ht="16.5" customHeight="1" x14ac:dyDescent="0.2">
      <c r="A81" s="149" t="s">
        <v>256</v>
      </c>
      <c r="B81" s="323">
        <v>0</v>
      </c>
      <c r="C81" s="324" t="s">
        <v>250</v>
      </c>
      <c r="D81" s="325" t="s">
        <v>257</v>
      </c>
    </row>
    <row r="82" spans="1:6" ht="16.5" customHeight="1" x14ac:dyDescent="0.2">
      <c r="A82" s="315" t="s">
        <v>258</v>
      </c>
      <c r="B82" s="323">
        <v>0</v>
      </c>
      <c r="C82" s="149" t="s">
        <v>250</v>
      </c>
      <c r="D82" s="315" t="s">
        <v>259</v>
      </c>
    </row>
    <row r="83" spans="1:6" ht="15.75" customHeight="1" x14ac:dyDescent="0.2">
      <c r="A83" s="326" t="s">
        <v>260</v>
      </c>
      <c r="B83" s="327">
        <v>2.75</v>
      </c>
      <c r="C83" s="328" t="s">
        <v>261</v>
      </c>
      <c r="D83" s="321" t="s">
        <v>254</v>
      </c>
      <c r="E83" s="314" t="s">
        <v>252</v>
      </c>
      <c r="F83" s="322"/>
    </row>
    <row r="84" spans="1:6" ht="15.75" customHeight="1" x14ac:dyDescent="0.2">
      <c r="A84" s="118" t="s">
        <v>262</v>
      </c>
      <c r="B84" s="329">
        <v>3.1</v>
      </c>
      <c r="C84" s="328" t="s">
        <v>261</v>
      </c>
      <c r="D84" s="321" t="s">
        <v>254</v>
      </c>
      <c r="E84" s="314" t="s">
        <v>252</v>
      </c>
      <c r="F84" s="322"/>
    </row>
    <row r="85" spans="1:6" ht="15.75" customHeight="1" x14ac:dyDescent="0.2">
      <c r="A85" s="118" t="s">
        <v>263</v>
      </c>
      <c r="B85" s="329">
        <v>3</v>
      </c>
      <c r="C85" s="328" t="s">
        <v>261</v>
      </c>
      <c r="D85" s="315" t="s">
        <v>259</v>
      </c>
      <c r="E85" s="314" t="s">
        <v>252</v>
      </c>
      <c r="F85" s="322"/>
    </row>
    <row r="86" spans="1:6" ht="18" customHeight="1" x14ac:dyDescent="0.2">
      <c r="A86" s="97" t="s">
        <v>176</v>
      </c>
      <c r="B86" s="330">
        <v>0.04</v>
      </c>
      <c r="C86" s="317" t="s">
        <v>264</v>
      </c>
      <c r="D86" s="177"/>
    </row>
    <row r="87" spans="1:6" ht="15" customHeight="1" x14ac:dyDescent="0.2">
      <c r="C87" s="331"/>
      <c r="D87" s="235"/>
    </row>
    <row r="88" spans="1:6" ht="24.75" customHeight="1" x14ac:dyDescent="0.2">
      <c r="A88" s="71" t="s">
        <v>265</v>
      </c>
      <c r="C88" s="149"/>
      <c r="D88" s="149"/>
    </row>
    <row r="89" spans="1:6" ht="24.75" customHeight="1" x14ac:dyDescent="0.2">
      <c r="A89" s="129" t="s">
        <v>266</v>
      </c>
      <c r="B89" s="170" t="s">
        <v>267</v>
      </c>
      <c r="C89" s="129"/>
      <c r="D89" s="129" t="s">
        <v>247</v>
      </c>
      <c r="E89" s="56"/>
      <c r="F89" s="56"/>
    </row>
    <row r="90" spans="1:6" ht="31.5" customHeight="1" x14ac:dyDescent="0.2">
      <c r="A90" s="97" t="s">
        <v>268</v>
      </c>
      <c r="B90" s="332">
        <v>38</v>
      </c>
      <c r="C90" s="315" t="s">
        <v>269</v>
      </c>
      <c r="D90" s="333" t="s">
        <v>270</v>
      </c>
      <c r="E90" s="334"/>
      <c r="F90" s="334"/>
    </row>
    <row r="91" spans="1:6" ht="24.75" customHeight="1" x14ac:dyDescent="0.2">
      <c r="A91" s="129" t="s">
        <v>231</v>
      </c>
      <c r="B91" s="170" t="s">
        <v>267</v>
      </c>
      <c r="C91" s="129"/>
      <c r="D91" s="129" t="s">
        <v>247</v>
      </c>
      <c r="E91" s="56"/>
      <c r="F91" s="56"/>
    </row>
    <row r="92" spans="1:6" ht="31.5" customHeight="1" x14ac:dyDescent="0.2">
      <c r="A92" s="97" t="s">
        <v>271</v>
      </c>
      <c r="B92" s="335">
        <v>110</v>
      </c>
      <c r="C92" s="315" t="s">
        <v>269</v>
      </c>
      <c r="D92" s="333" t="s">
        <v>270</v>
      </c>
      <c r="E92" s="334"/>
      <c r="F92" s="334"/>
    </row>
    <row r="93" spans="1:6" ht="18" customHeight="1" x14ac:dyDescent="0.2">
      <c r="A93" s="129" t="s">
        <v>96</v>
      </c>
      <c r="B93" s="170" t="s">
        <v>267</v>
      </c>
      <c r="C93" s="129"/>
      <c r="D93" s="129" t="s">
        <v>247</v>
      </c>
    </row>
    <row r="94" spans="1:6" ht="15.75" customHeight="1" x14ac:dyDescent="0.2">
      <c r="A94" s="97" t="s">
        <v>272</v>
      </c>
      <c r="B94" s="335">
        <v>0</v>
      </c>
      <c r="C94" s="315" t="s">
        <v>269</v>
      </c>
      <c r="D94" s="333" t="s">
        <v>273</v>
      </c>
    </row>
    <row r="95" spans="1:6" x14ac:dyDescent="0.2">
      <c r="A95" s="180"/>
    </row>
    <row r="97" spans="1:1" x14ac:dyDescent="0.2">
      <c r="A97" s="336"/>
    </row>
  </sheetData>
  <mergeCells count="4">
    <mergeCell ref="A1:B1"/>
    <mergeCell ref="A8:C8"/>
    <mergeCell ref="A21:C21"/>
    <mergeCell ref="A37:C4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7"/>
  <sheetViews>
    <sheetView showGridLines="0" tabSelected="1" zoomScale="90" zoomScaleNormal="90" zoomScalePageLayoutView="80" workbookViewId="0">
      <selection activeCell="G145" sqref="G145"/>
    </sheetView>
  </sheetViews>
  <sheetFormatPr baseColWidth="10" defaultColWidth="8.6640625" defaultRowHeight="16" x14ac:dyDescent="0.2"/>
  <cols>
    <col min="1" max="1" width="60.1640625" style="14" customWidth="1"/>
    <col min="2" max="2" width="10.6640625" style="14" customWidth="1"/>
    <col min="3" max="3" width="15.6640625" style="337" customWidth="1"/>
    <col min="4" max="4" width="18.6640625" style="338" customWidth="1"/>
    <col min="5" max="5" width="15.6640625" style="338" customWidth="1"/>
    <col min="6" max="7" width="30.6640625" style="337" customWidth="1"/>
    <col min="8" max="8" width="70.6640625" style="14" customWidth="1"/>
    <col min="9" max="9" width="20.5" style="14" customWidth="1"/>
    <col min="10" max="10" width="12.6640625" style="14" customWidth="1"/>
    <col min="11" max="11" width="38.1640625" style="14" customWidth="1"/>
    <col min="12" max="16384" width="8.6640625" style="14"/>
  </cols>
  <sheetData>
    <row r="1" spans="1:8" ht="39.75" customHeight="1" x14ac:dyDescent="0.3">
      <c r="A1" s="59" t="s">
        <v>274</v>
      </c>
    </row>
    <row r="2" spans="1:8" ht="15" customHeight="1" x14ac:dyDescent="0.3">
      <c r="A2" s="59"/>
    </row>
    <row r="3" spans="1:8" ht="15" customHeight="1" x14ac:dyDescent="0.25">
      <c r="A3" s="339"/>
      <c r="B3" s="19"/>
      <c r="C3" s="340"/>
      <c r="D3" s="341"/>
      <c r="E3" s="341"/>
      <c r="F3" s="342"/>
    </row>
    <row r="4" spans="1:8" ht="15" customHeight="1" x14ac:dyDescent="0.2">
      <c r="A4" s="343" t="s">
        <v>275</v>
      </c>
      <c r="B4" s="22"/>
      <c r="C4" s="344"/>
      <c r="D4" s="345"/>
      <c r="E4" s="346"/>
      <c r="F4" s="347"/>
    </row>
    <row r="5" spans="1:8" ht="15" customHeight="1" x14ac:dyDescent="0.2">
      <c r="A5" s="343" t="s">
        <v>276</v>
      </c>
      <c r="B5" s="22"/>
      <c r="C5" s="344"/>
      <c r="D5" s="345"/>
      <c r="E5" s="346"/>
      <c r="F5" s="347"/>
    </row>
    <row r="6" spans="1:8" ht="15" customHeight="1" x14ac:dyDescent="0.2">
      <c r="A6" s="343" t="s">
        <v>277</v>
      </c>
      <c r="B6" s="22"/>
      <c r="C6" s="344"/>
      <c r="D6" s="345"/>
      <c r="E6" s="346"/>
      <c r="F6" s="347"/>
    </row>
    <row r="7" spans="1:8" ht="15" customHeight="1" x14ac:dyDescent="0.2">
      <c r="A7" s="343" t="s">
        <v>278</v>
      </c>
      <c r="B7" s="22"/>
      <c r="C7" s="344"/>
      <c r="D7" s="345"/>
      <c r="E7" s="346"/>
      <c r="F7" s="347"/>
    </row>
    <row r="8" spans="1:8" ht="15" customHeight="1" x14ac:dyDescent="0.2">
      <c r="A8" s="348"/>
      <c r="B8" s="22"/>
      <c r="C8" s="344"/>
      <c r="D8" s="345"/>
      <c r="E8" s="345"/>
      <c r="F8" s="347"/>
    </row>
    <row r="9" spans="1:8" ht="15" customHeight="1" x14ac:dyDescent="0.2">
      <c r="A9" s="349"/>
      <c r="B9" s="22"/>
      <c r="C9" s="344"/>
      <c r="D9" s="345"/>
      <c r="E9" s="345"/>
      <c r="F9" s="347"/>
    </row>
    <row r="10" spans="1:8" ht="15" customHeight="1" x14ac:dyDescent="0.2">
      <c r="A10" s="343" t="s">
        <v>279</v>
      </c>
      <c r="B10" s="22"/>
      <c r="C10" s="344"/>
      <c r="D10" s="345"/>
      <c r="E10" s="345"/>
      <c r="F10" s="347"/>
    </row>
    <row r="11" spans="1:8" ht="15" customHeight="1" x14ac:dyDescent="0.2">
      <c r="A11" s="24" t="s">
        <v>280</v>
      </c>
      <c r="B11" s="22"/>
      <c r="C11" s="344"/>
      <c r="D11" s="345"/>
      <c r="E11" s="345"/>
      <c r="F11" s="347"/>
    </row>
    <row r="12" spans="1:8" ht="15" customHeight="1" x14ac:dyDescent="0.2">
      <c r="A12" s="24"/>
      <c r="B12" s="22"/>
      <c r="C12" s="344"/>
      <c r="D12" s="345"/>
      <c r="E12" s="345"/>
      <c r="F12" s="347"/>
    </row>
    <row r="13" spans="1:8" ht="15" customHeight="1" x14ac:dyDescent="0.2">
      <c r="A13" s="24" t="s">
        <v>281</v>
      </c>
      <c r="B13" s="22"/>
      <c r="C13" s="344"/>
      <c r="D13" s="345"/>
      <c r="E13" s="345"/>
      <c r="F13" s="347"/>
    </row>
    <row r="14" spans="1:8" ht="15" customHeight="1" x14ac:dyDescent="0.2">
      <c r="A14" s="67"/>
      <c r="B14" s="26"/>
      <c r="C14" s="350"/>
      <c r="D14" s="351"/>
      <c r="E14" s="351"/>
      <c r="F14" s="352"/>
    </row>
    <row r="15" spans="1:8" x14ac:dyDescent="0.2">
      <c r="A15" s="353"/>
    </row>
    <row r="16" spans="1:8" ht="30" customHeight="1" x14ac:dyDescent="0.2">
      <c r="A16" s="6" t="s">
        <v>282</v>
      </c>
      <c r="B16" s="6"/>
      <c r="C16" s="6"/>
      <c r="D16" s="6"/>
      <c r="E16" s="6"/>
      <c r="F16" s="6"/>
      <c r="G16" s="6"/>
      <c r="H16" s="354"/>
    </row>
    <row r="17" spans="1:7" ht="33.75" customHeight="1" x14ac:dyDescent="0.2">
      <c r="A17" s="355" t="s">
        <v>283</v>
      </c>
      <c r="B17" s="356"/>
      <c r="C17" s="357" t="s">
        <v>284</v>
      </c>
      <c r="D17" s="356" t="s">
        <v>75</v>
      </c>
      <c r="E17" s="358" t="s">
        <v>285</v>
      </c>
      <c r="F17" s="356" t="s">
        <v>286</v>
      </c>
      <c r="G17" s="359" t="s">
        <v>287</v>
      </c>
    </row>
    <row r="18" spans="1:7" ht="24.75" customHeight="1" x14ac:dyDescent="0.2">
      <c r="A18" s="184" t="s">
        <v>288</v>
      </c>
      <c r="B18" s="360"/>
      <c r="C18" s="361"/>
      <c r="D18" s="362"/>
      <c r="E18" s="363"/>
      <c r="F18" s="32"/>
      <c r="G18" s="364"/>
    </row>
    <row r="19" spans="1:7" ht="15" customHeight="1" x14ac:dyDescent="0.2">
      <c r="A19" s="116" t="s">
        <v>289</v>
      </c>
      <c r="B19" s="365"/>
      <c r="C19" s="366">
        <f>B114</f>
        <v>2600</v>
      </c>
      <c r="D19" s="115" t="s">
        <v>290</v>
      </c>
      <c r="E19" s="367">
        <f t="shared" ref="E19:E38" si="0">B19*C19</f>
        <v>0</v>
      </c>
      <c r="F19" s="123"/>
      <c r="G19" s="123"/>
    </row>
    <row r="20" spans="1:7" ht="15" customHeight="1" x14ac:dyDescent="0.2">
      <c r="A20" s="116" t="s">
        <v>291</v>
      </c>
      <c r="B20" s="365"/>
      <c r="C20" s="368">
        <v>80</v>
      </c>
      <c r="D20" s="115" t="s">
        <v>290</v>
      </c>
      <c r="E20" s="367">
        <f t="shared" si="0"/>
        <v>0</v>
      </c>
      <c r="F20" s="105"/>
      <c r="G20" s="175"/>
    </row>
    <row r="21" spans="1:7" ht="15" customHeight="1" x14ac:dyDescent="0.2">
      <c r="A21" s="116" t="s">
        <v>292</v>
      </c>
      <c r="B21" s="365"/>
      <c r="C21" s="368">
        <v>94</v>
      </c>
      <c r="D21" s="115" t="s">
        <v>290</v>
      </c>
      <c r="E21" s="367">
        <f t="shared" si="0"/>
        <v>0</v>
      </c>
      <c r="F21" s="105"/>
      <c r="G21" s="175"/>
    </row>
    <row r="22" spans="1:7" ht="15" customHeight="1" x14ac:dyDescent="0.2">
      <c r="A22" s="116" t="s">
        <v>293</v>
      </c>
      <c r="B22" s="365"/>
      <c r="C22" s="368">
        <v>200</v>
      </c>
      <c r="D22" s="115" t="s">
        <v>290</v>
      </c>
      <c r="E22" s="367">
        <f t="shared" si="0"/>
        <v>0</v>
      </c>
      <c r="F22" s="105"/>
      <c r="G22" s="175"/>
    </row>
    <row r="23" spans="1:7" ht="15" customHeight="1" x14ac:dyDescent="0.2">
      <c r="A23" s="116" t="s">
        <v>294</v>
      </c>
      <c r="B23" s="365"/>
      <c r="C23" s="368">
        <v>480</v>
      </c>
      <c r="D23" s="115" t="s">
        <v>290</v>
      </c>
      <c r="E23" s="367">
        <f t="shared" si="0"/>
        <v>0</v>
      </c>
      <c r="F23" s="105"/>
      <c r="G23" s="175"/>
    </row>
    <row r="24" spans="1:7" ht="15" customHeight="1" x14ac:dyDescent="0.2">
      <c r="A24" s="116" t="s">
        <v>295</v>
      </c>
      <c r="B24" s="365"/>
      <c r="C24" s="368">
        <v>240</v>
      </c>
      <c r="D24" s="115" t="s">
        <v>290</v>
      </c>
      <c r="E24" s="367">
        <f t="shared" si="0"/>
        <v>0</v>
      </c>
      <c r="F24" s="105"/>
      <c r="G24" s="175"/>
    </row>
    <row r="25" spans="1:7" ht="15" customHeight="1" x14ac:dyDescent="0.2">
      <c r="A25" s="116" t="s">
        <v>296</v>
      </c>
      <c r="B25" s="365"/>
      <c r="C25" s="368">
        <v>620</v>
      </c>
      <c r="D25" s="115" t="s">
        <v>290</v>
      </c>
      <c r="E25" s="367">
        <f t="shared" si="0"/>
        <v>0</v>
      </c>
      <c r="F25" s="105"/>
      <c r="G25" s="175"/>
    </row>
    <row r="26" spans="1:7" ht="15" customHeight="1" x14ac:dyDescent="0.2">
      <c r="A26" s="116" t="s">
        <v>297</v>
      </c>
      <c r="B26" s="365"/>
      <c r="C26" s="368">
        <v>710</v>
      </c>
      <c r="D26" s="115" t="s">
        <v>290</v>
      </c>
      <c r="E26" s="367">
        <f t="shared" si="0"/>
        <v>0</v>
      </c>
      <c r="F26" s="105"/>
      <c r="G26" s="175"/>
    </row>
    <row r="27" spans="1:7" ht="15" customHeight="1" x14ac:dyDescent="0.2">
      <c r="A27" s="116" t="s">
        <v>298</v>
      </c>
      <c r="B27" s="365"/>
      <c r="C27" s="368">
        <v>480</v>
      </c>
      <c r="D27" s="115" t="s">
        <v>290</v>
      </c>
      <c r="E27" s="367">
        <f t="shared" si="0"/>
        <v>0</v>
      </c>
      <c r="F27" s="105"/>
      <c r="G27" s="175"/>
    </row>
    <row r="28" spans="1:7" ht="15" customHeight="1" x14ac:dyDescent="0.2">
      <c r="A28" s="116" t="s">
        <v>299</v>
      </c>
      <c r="B28" s="365"/>
      <c r="C28" s="368">
        <v>590</v>
      </c>
      <c r="D28" s="115" t="s">
        <v>290</v>
      </c>
      <c r="E28" s="367">
        <f t="shared" si="0"/>
        <v>0</v>
      </c>
      <c r="F28" s="105"/>
      <c r="G28" s="175"/>
    </row>
    <row r="29" spans="1:7" ht="15" customHeight="1" x14ac:dyDescent="0.2">
      <c r="A29" s="116" t="s">
        <v>300</v>
      </c>
      <c r="B29" s="365"/>
      <c r="C29" s="368">
        <v>500</v>
      </c>
      <c r="D29" s="115" t="s">
        <v>290</v>
      </c>
      <c r="E29" s="367">
        <f t="shared" si="0"/>
        <v>0</v>
      </c>
      <c r="F29" s="105"/>
      <c r="G29" s="175"/>
    </row>
    <row r="30" spans="1:7" ht="15" customHeight="1" x14ac:dyDescent="0.2">
      <c r="A30" s="116" t="s">
        <v>301</v>
      </c>
      <c r="B30" s="365"/>
      <c r="C30" s="368">
        <v>660</v>
      </c>
      <c r="D30" s="115" t="s">
        <v>290</v>
      </c>
      <c r="E30" s="367">
        <f t="shared" si="0"/>
        <v>0</v>
      </c>
      <c r="F30" s="105"/>
      <c r="G30" s="175"/>
    </row>
    <row r="31" spans="1:7" ht="15" customHeight="1" x14ac:dyDescent="0.2">
      <c r="A31" s="116" t="s">
        <v>302</v>
      </c>
      <c r="B31" s="365"/>
      <c r="C31" s="368">
        <v>700</v>
      </c>
      <c r="D31" s="115" t="s">
        <v>290</v>
      </c>
      <c r="E31" s="367">
        <f t="shared" si="0"/>
        <v>0</v>
      </c>
      <c r="F31" s="105"/>
      <c r="G31" s="175"/>
    </row>
    <row r="32" spans="1:7" ht="15" customHeight="1" x14ac:dyDescent="0.2">
      <c r="A32" s="116" t="s">
        <v>303</v>
      </c>
      <c r="B32" s="365"/>
      <c r="C32" s="368">
        <v>910</v>
      </c>
      <c r="D32" s="115" t="s">
        <v>290</v>
      </c>
      <c r="E32" s="367">
        <f t="shared" si="0"/>
        <v>0</v>
      </c>
      <c r="F32" s="105"/>
      <c r="G32" s="175"/>
    </row>
    <row r="33" spans="1:7" ht="31.5" customHeight="1" x14ac:dyDescent="0.2">
      <c r="A33" s="116" t="s">
        <v>304</v>
      </c>
      <c r="B33" s="369"/>
      <c r="C33" s="366">
        <v>5</v>
      </c>
      <c r="D33" s="115" t="s">
        <v>305</v>
      </c>
      <c r="E33" s="367">
        <f t="shared" si="0"/>
        <v>0</v>
      </c>
      <c r="F33" s="105" t="s">
        <v>306</v>
      </c>
      <c r="G33" s="175" t="s">
        <v>307</v>
      </c>
    </row>
    <row r="34" spans="1:7" ht="15" customHeight="1" x14ac:dyDescent="0.2">
      <c r="A34" s="116"/>
      <c r="B34" s="117"/>
      <c r="C34" s="366"/>
      <c r="D34" s="115"/>
      <c r="E34" s="367">
        <f t="shared" si="0"/>
        <v>0</v>
      </c>
      <c r="F34" s="105"/>
      <c r="G34" s="175"/>
    </row>
    <row r="35" spans="1:7" ht="15" customHeight="1" x14ac:dyDescent="0.2">
      <c r="B35" s="117"/>
      <c r="C35" s="366"/>
      <c r="D35" s="115"/>
      <c r="E35" s="367">
        <f t="shared" si="0"/>
        <v>0</v>
      </c>
      <c r="F35" s="105"/>
      <c r="G35" s="175"/>
    </row>
    <row r="36" spans="1:7" ht="15" customHeight="1" x14ac:dyDescent="0.2">
      <c r="A36" s="116"/>
      <c r="B36" s="117"/>
      <c r="C36" s="366"/>
      <c r="D36" s="115"/>
      <c r="E36" s="367">
        <f t="shared" si="0"/>
        <v>0</v>
      </c>
      <c r="F36" s="105"/>
      <c r="G36" s="175"/>
    </row>
    <row r="37" spans="1:7" ht="15" customHeight="1" x14ac:dyDescent="0.2">
      <c r="A37" s="116"/>
      <c r="B37" s="117"/>
      <c r="C37" s="366"/>
      <c r="D37" s="115"/>
      <c r="E37" s="367">
        <f t="shared" si="0"/>
        <v>0</v>
      </c>
      <c r="F37" s="105"/>
      <c r="G37" s="175"/>
    </row>
    <row r="38" spans="1:7" ht="15" customHeight="1" x14ac:dyDescent="0.2">
      <c r="A38" s="116" t="s">
        <v>308</v>
      </c>
      <c r="B38" s="117"/>
      <c r="C38" s="370">
        <f>B133</f>
        <v>8300</v>
      </c>
      <c r="D38" s="115" t="s">
        <v>290</v>
      </c>
      <c r="E38" s="371">
        <f t="shared" si="0"/>
        <v>0</v>
      </c>
      <c r="F38" s="105"/>
      <c r="G38" s="372"/>
    </row>
    <row r="39" spans="1:7" x14ac:dyDescent="0.2">
      <c r="A39" s="373" t="s">
        <v>309</v>
      </c>
      <c r="B39" s="267"/>
      <c r="C39" s="374"/>
      <c r="D39" s="375"/>
      <c r="E39" s="376">
        <f>SUM(E20:E37)</f>
        <v>0</v>
      </c>
      <c r="F39" s="377"/>
      <c r="G39" s="378"/>
    </row>
    <row r="40" spans="1:7" ht="15" customHeight="1" x14ac:dyDescent="0.2">
      <c r="A40" s="174" t="s">
        <v>310</v>
      </c>
      <c r="B40" s="117"/>
      <c r="C40" s="379">
        <f>B136</f>
        <v>5.4</v>
      </c>
      <c r="D40" s="115" t="s">
        <v>311</v>
      </c>
      <c r="E40" s="371">
        <f t="shared" ref="E40:E50" si="1">B40*C40</f>
        <v>0</v>
      </c>
      <c r="F40" s="121"/>
      <c r="G40" s="380"/>
    </row>
    <row r="41" spans="1:7" ht="15" customHeight="1" x14ac:dyDescent="0.2">
      <c r="A41" s="381" t="s">
        <v>312</v>
      </c>
      <c r="B41" s="382"/>
      <c r="C41" s="383"/>
      <c r="D41" s="115" t="s">
        <v>311</v>
      </c>
      <c r="E41" s="384">
        <f t="shared" si="1"/>
        <v>0</v>
      </c>
      <c r="F41" s="121"/>
      <c r="G41" s="123"/>
    </row>
    <row r="42" spans="1:7" x14ac:dyDescent="0.2">
      <c r="A42" s="381" t="s">
        <v>313</v>
      </c>
      <c r="B42" s="385"/>
      <c r="C42" s="383"/>
      <c r="D42" s="386" t="s">
        <v>314</v>
      </c>
      <c r="E42" s="384">
        <f t="shared" si="1"/>
        <v>0</v>
      </c>
      <c r="F42" s="387"/>
      <c r="G42" s="388"/>
    </row>
    <row r="43" spans="1:7" ht="15" customHeight="1" x14ac:dyDescent="0.2">
      <c r="A43" s="389" t="s">
        <v>315</v>
      </c>
      <c r="B43" s="390"/>
      <c r="C43" s="383"/>
      <c r="D43" s="115" t="s">
        <v>311</v>
      </c>
      <c r="E43" s="384">
        <f t="shared" si="1"/>
        <v>0</v>
      </c>
      <c r="F43" s="123"/>
      <c r="G43" s="123"/>
    </row>
    <row r="44" spans="1:7" ht="15" customHeight="1" x14ac:dyDescent="0.2">
      <c r="A44" s="144" t="s">
        <v>316</v>
      </c>
      <c r="B44" s="390"/>
      <c r="C44" s="391"/>
      <c r="D44" s="115"/>
      <c r="E44" s="384">
        <f t="shared" si="1"/>
        <v>0</v>
      </c>
      <c r="F44" s="123"/>
      <c r="G44" s="123"/>
    </row>
    <row r="45" spans="1:7" ht="15" customHeight="1" x14ac:dyDescent="0.2">
      <c r="A45" s="116" t="s">
        <v>317</v>
      </c>
      <c r="B45" s="390"/>
      <c r="C45" s="391"/>
      <c r="D45" s="115"/>
      <c r="E45" s="384">
        <f t="shared" si="1"/>
        <v>0</v>
      </c>
      <c r="F45" s="123"/>
      <c r="G45" s="123"/>
    </row>
    <row r="46" spans="1:7" ht="15" customHeight="1" x14ac:dyDescent="0.2">
      <c r="A46" s="116" t="s">
        <v>318</v>
      </c>
      <c r="B46" s="390"/>
      <c r="C46" s="391"/>
      <c r="D46" s="115"/>
      <c r="E46" s="384">
        <f t="shared" si="1"/>
        <v>0</v>
      </c>
      <c r="F46" s="123"/>
      <c r="G46" s="123"/>
    </row>
    <row r="47" spans="1:7" ht="15" customHeight="1" x14ac:dyDescent="0.2">
      <c r="A47" s="116" t="s">
        <v>319</v>
      </c>
      <c r="B47" s="390"/>
      <c r="C47" s="391"/>
      <c r="D47" s="115"/>
      <c r="E47" s="384">
        <f t="shared" si="1"/>
        <v>0</v>
      </c>
      <c r="F47" s="123"/>
      <c r="G47" s="123"/>
    </row>
    <row r="48" spans="1:7" ht="15" customHeight="1" x14ac:dyDescent="0.2">
      <c r="A48" s="116" t="s">
        <v>320</v>
      </c>
      <c r="B48" s="390"/>
      <c r="C48" s="391"/>
      <c r="D48" s="115"/>
      <c r="E48" s="384">
        <f t="shared" si="1"/>
        <v>0</v>
      </c>
      <c r="F48" s="123"/>
      <c r="G48" s="123"/>
    </row>
    <row r="49" spans="1:11" ht="15" customHeight="1" x14ac:dyDescent="0.2">
      <c r="A49" s="116" t="s">
        <v>321</v>
      </c>
      <c r="B49" s="390"/>
      <c r="C49" s="391"/>
      <c r="D49" s="115"/>
      <c r="E49" s="384">
        <f t="shared" si="1"/>
        <v>0</v>
      </c>
      <c r="F49" s="123"/>
      <c r="G49" s="123"/>
    </row>
    <row r="50" spans="1:11" ht="16.5" customHeight="1" x14ac:dyDescent="0.2">
      <c r="A50" s="381" t="s">
        <v>322</v>
      </c>
      <c r="B50" s="98">
        <f>'B. Yhteenveto'!B46</f>
        <v>0</v>
      </c>
      <c r="C50" s="379">
        <f>B155</f>
        <v>0.499</v>
      </c>
      <c r="D50" s="99" t="s">
        <v>305</v>
      </c>
      <c r="E50" s="371">
        <f t="shared" si="1"/>
        <v>0</v>
      </c>
      <c r="F50" s="123"/>
      <c r="G50" s="123"/>
    </row>
    <row r="51" spans="1:11" x14ac:dyDescent="0.2">
      <c r="A51" s="373" t="s">
        <v>323</v>
      </c>
      <c r="B51" s="392"/>
      <c r="C51" s="374"/>
      <c r="D51" s="375"/>
      <c r="E51" s="376">
        <f>E19+E38+SUM(E40:E50)</f>
        <v>0</v>
      </c>
      <c r="F51" s="393"/>
      <c r="G51" s="378"/>
      <c r="I51" s="145"/>
      <c r="J51" s="145"/>
    </row>
    <row r="52" spans="1:11" ht="24.75" customHeight="1" x14ac:dyDescent="0.2">
      <c r="A52" s="96" t="s">
        <v>324</v>
      </c>
      <c r="B52" s="394"/>
      <c r="C52" s="395"/>
      <c r="D52" s="396"/>
      <c r="E52" s="397"/>
      <c r="F52" s="398"/>
      <c r="G52" s="399"/>
      <c r="I52" s="145"/>
      <c r="J52" s="145"/>
    </row>
    <row r="53" spans="1:11" x14ac:dyDescent="0.2">
      <c r="A53" s="177" t="s">
        <v>325</v>
      </c>
      <c r="B53" s="400"/>
      <c r="C53" s="379">
        <f>B146</f>
        <v>7.6999999999999999E-2</v>
      </c>
      <c r="D53" s="115" t="s">
        <v>326</v>
      </c>
      <c r="E53" s="401">
        <f>B53*C53</f>
        <v>0</v>
      </c>
      <c r="F53" s="105"/>
      <c r="G53" s="168"/>
      <c r="I53" s="145"/>
      <c r="J53" s="145"/>
    </row>
    <row r="54" spans="1:11" x14ac:dyDescent="0.2">
      <c r="A54" s="177" t="s">
        <v>327</v>
      </c>
      <c r="B54" s="400"/>
      <c r="C54" s="402"/>
      <c r="D54" s="115" t="s">
        <v>328</v>
      </c>
      <c r="E54" s="401">
        <f>B54*C54</f>
        <v>0</v>
      </c>
      <c r="F54" s="105"/>
      <c r="G54" s="168"/>
      <c r="I54" s="145"/>
      <c r="J54" s="145"/>
    </row>
    <row r="55" spans="1:11" ht="15" customHeight="1" x14ac:dyDescent="0.2">
      <c r="A55" s="116" t="s">
        <v>329</v>
      </c>
      <c r="B55" s="400"/>
      <c r="C55" s="379">
        <f>B143</f>
        <v>0.92100000000000004</v>
      </c>
      <c r="D55" s="115" t="s">
        <v>326</v>
      </c>
      <c r="E55" s="401">
        <f>B55*C55</f>
        <v>0</v>
      </c>
      <c r="F55" s="105"/>
      <c r="G55" s="168"/>
      <c r="I55" s="403"/>
      <c r="J55" s="403"/>
    </row>
    <row r="56" spans="1:11" ht="15" customHeight="1" x14ac:dyDescent="0.2">
      <c r="A56" s="116" t="s">
        <v>330</v>
      </c>
      <c r="B56" s="400"/>
      <c r="C56" s="379">
        <f>B144</f>
        <v>0.51</v>
      </c>
      <c r="D56" s="115" t="s">
        <v>326</v>
      </c>
      <c r="E56" s="401">
        <f>B56*C56</f>
        <v>0</v>
      </c>
      <c r="F56" s="105"/>
      <c r="G56" s="404"/>
      <c r="I56" s="403"/>
      <c r="J56" s="403"/>
    </row>
    <row r="57" spans="1:11" x14ac:dyDescent="0.2">
      <c r="A57" s="373" t="s">
        <v>331</v>
      </c>
      <c r="B57" s="392"/>
      <c r="C57" s="374"/>
      <c r="D57" s="375"/>
      <c r="E57" s="376">
        <f>SUM(E53:E56)</f>
        <v>0</v>
      </c>
      <c r="F57" s="377"/>
      <c r="G57" s="378"/>
      <c r="I57" s="405"/>
      <c r="J57" s="403"/>
      <c r="K57" s="403"/>
    </row>
    <row r="58" spans="1:11" ht="24.75" customHeight="1" x14ac:dyDescent="0.2">
      <c r="A58" s="96" t="s">
        <v>332</v>
      </c>
      <c r="B58" s="394"/>
      <c r="C58" s="395"/>
      <c r="D58" s="396"/>
      <c r="E58" s="397"/>
      <c r="F58" s="406"/>
      <c r="G58" s="407"/>
      <c r="I58" s="408"/>
    </row>
    <row r="59" spans="1:11" x14ac:dyDescent="0.2">
      <c r="A59" s="381" t="s">
        <v>333</v>
      </c>
      <c r="B59" s="117"/>
      <c r="C59" s="409">
        <f>B160</f>
        <v>24.6</v>
      </c>
      <c r="D59" s="115" t="s">
        <v>290</v>
      </c>
      <c r="E59" s="401">
        <f t="shared" ref="E59:E68" si="2">B59*C59</f>
        <v>0</v>
      </c>
      <c r="F59" s="105"/>
      <c r="G59" s="123"/>
      <c r="I59" s="408"/>
    </row>
    <row r="60" spans="1:11" x14ac:dyDescent="0.2">
      <c r="A60" s="381" t="s">
        <v>334</v>
      </c>
      <c r="B60" s="117"/>
      <c r="C60" s="409">
        <f>B165</f>
        <v>53.4</v>
      </c>
      <c r="D60" s="115" t="s">
        <v>290</v>
      </c>
      <c r="E60" s="401">
        <f t="shared" si="2"/>
        <v>0</v>
      </c>
      <c r="F60" s="105"/>
      <c r="G60" s="123"/>
      <c r="I60" s="337"/>
    </row>
    <row r="61" spans="1:11" x14ac:dyDescent="0.2">
      <c r="A61" s="381" t="s">
        <v>335</v>
      </c>
      <c r="B61" s="117"/>
      <c r="C61" s="409">
        <f>B166</f>
        <v>72.599999999999994</v>
      </c>
      <c r="D61" s="115" t="s">
        <v>290</v>
      </c>
      <c r="E61" s="401">
        <f t="shared" si="2"/>
        <v>0</v>
      </c>
      <c r="F61" s="105"/>
      <c r="G61" s="123"/>
      <c r="I61" s="337"/>
    </row>
    <row r="62" spans="1:11" x14ac:dyDescent="0.2">
      <c r="A62" s="381" t="s">
        <v>336</v>
      </c>
      <c r="B62" s="117"/>
      <c r="C62" s="409">
        <f>B161</f>
        <v>366</v>
      </c>
      <c r="D62" s="115" t="s">
        <v>290</v>
      </c>
      <c r="E62" s="401">
        <f t="shared" si="2"/>
        <v>0</v>
      </c>
      <c r="F62" s="105"/>
      <c r="G62" s="123"/>
      <c r="I62" s="337"/>
    </row>
    <row r="63" spans="1:11" x14ac:dyDescent="0.2">
      <c r="A63" s="381" t="s">
        <v>337</v>
      </c>
      <c r="B63" s="117"/>
      <c r="C63" s="409">
        <f>B158</f>
        <v>400</v>
      </c>
      <c r="D63" s="115" t="s">
        <v>290</v>
      </c>
      <c r="E63" s="401">
        <f t="shared" si="2"/>
        <v>0</v>
      </c>
      <c r="F63" s="105"/>
      <c r="G63" s="123"/>
      <c r="I63" s="337"/>
    </row>
    <row r="64" spans="1:11" x14ac:dyDescent="0.2">
      <c r="A64" s="381" t="s">
        <v>321</v>
      </c>
      <c r="B64" s="117"/>
      <c r="C64" s="409">
        <v>13.17</v>
      </c>
      <c r="D64" s="115" t="s">
        <v>290</v>
      </c>
      <c r="E64" s="401">
        <f t="shared" si="2"/>
        <v>0</v>
      </c>
      <c r="F64" s="105"/>
      <c r="G64" s="123"/>
      <c r="I64" s="337"/>
    </row>
    <row r="65" spans="1:12" x14ac:dyDescent="0.2">
      <c r="A65" s="381" t="s">
        <v>338</v>
      </c>
      <c r="B65" s="117"/>
      <c r="C65" s="409">
        <f>B159</f>
        <v>143</v>
      </c>
      <c r="D65" s="115" t="s">
        <v>290</v>
      </c>
      <c r="E65" s="401">
        <f t="shared" si="2"/>
        <v>0</v>
      </c>
      <c r="F65" s="105"/>
      <c r="G65" s="123"/>
      <c r="I65" s="337"/>
    </row>
    <row r="66" spans="1:12" x14ac:dyDescent="0.2">
      <c r="A66" s="381" t="s">
        <v>339</v>
      </c>
      <c r="B66" s="117"/>
      <c r="C66" s="409">
        <f>B163</f>
        <v>56.7</v>
      </c>
      <c r="D66" s="115" t="s">
        <v>290</v>
      </c>
      <c r="E66" s="401">
        <f t="shared" si="2"/>
        <v>0</v>
      </c>
      <c r="F66" s="105"/>
      <c r="G66" s="123"/>
      <c r="I66" s="337"/>
    </row>
    <row r="67" spans="1:12" ht="31.5" customHeight="1" x14ac:dyDescent="0.2">
      <c r="A67" s="315" t="s">
        <v>340</v>
      </c>
      <c r="B67" s="117"/>
      <c r="C67" s="409">
        <f>B164</f>
        <v>1170</v>
      </c>
      <c r="D67" s="115" t="s">
        <v>290</v>
      </c>
      <c r="E67" s="401">
        <f t="shared" si="2"/>
        <v>0</v>
      </c>
      <c r="F67" s="105"/>
      <c r="G67" s="123"/>
      <c r="I67" s="337"/>
    </row>
    <row r="68" spans="1:12" x14ac:dyDescent="0.2">
      <c r="A68" s="315" t="s">
        <v>341</v>
      </c>
      <c r="B68" s="117"/>
      <c r="C68" s="409">
        <v>1125</v>
      </c>
      <c r="D68" s="115" t="s">
        <v>290</v>
      </c>
      <c r="E68" s="401">
        <f t="shared" si="2"/>
        <v>0</v>
      </c>
      <c r="F68" s="105"/>
      <c r="G68" s="123"/>
      <c r="I68" s="337"/>
    </row>
    <row r="69" spans="1:12" ht="33.75" customHeight="1" x14ac:dyDescent="0.2">
      <c r="A69" s="315" t="s">
        <v>342</v>
      </c>
      <c r="B69" s="410"/>
      <c r="C69" s="409"/>
      <c r="D69" s="115"/>
      <c r="E69" s="117"/>
      <c r="F69" s="105"/>
      <c r="G69" s="123"/>
      <c r="I69" s="337"/>
    </row>
    <row r="70" spans="1:12" x14ac:dyDescent="0.2">
      <c r="A70" s="373" t="s">
        <v>343</v>
      </c>
      <c r="B70" s="392"/>
      <c r="C70" s="374"/>
      <c r="D70" s="375"/>
      <c r="E70" s="376">
        <f>SUM(E59:E69)</f>
        <v>0</v>
      </c>
      <c r="F70" s="377"/>
      <c r="G70" s="411"/>
    </row>
    <row r="71" spans="1:12" ht="24.75" customHeight="1" x14ac:dyDescent="0.2">
      <c r="A71" s="96" t="s">
        <v>344</v>
      </c>
      <c r="B71" s="94" t="s">
        <v>237</v>
      </c>
      <c r="C71" s="395"/>
      <c r="D71" s="396"/>
      <c r="E71" s="412"/>
      <c r="F71" s="398"/>
      <c r="G71" s="413"/>
    </row>
    <row r="72" spans="1:12" ht="31.5" customHeight="1" x14ac:dyDescent="0.2">
      <c r="A72" s="97" t="s">
        <v>345</v>
      </c>
      <c r="B72" s="400"/>
      <c r="C72" s="414">
        <f>B149</f>
        <v>0.1399</v>
      </c>
      <c r="D72" s="386" t="s">
        <v>346</v>
      </c>
      <c r="E72" s="415">
        <f>B72*C72</f>
        <v>0</v>
      </c>
      <c r="F72" s="250"/>
      <c r="G72" s="123"/>
      <c r="I72" s="145"/>
    </row>
    <row r="73" spans="1:12" ht="15" customHeight="1" x14ac:dyDescent="0.2">
      <c r="A73" s="381" t="s">
        <v>347</v>
      </c>
      <c r="B73" s="400"/>
      <c r="C73" s="416">
        <f>B151</f>
        <v>0.14299999999999999</v>
      </c>
      <c r="D73" s="417" t="s">
        <v>348</v>
      </c>
      <c r="E73" s="418">
        <f>B73*C73</f>
        <v>0</v>
      </c>
      <c r="F73" s="105"/>
      <c r="G73" s="168"/>
      <c r="I73" s="145"/>
    </row>
    <row r="74" spans="1:12" ht="15" customHeight="1" x14ac:dyDescent="0.2">
      <c r="A74" s="381" t="s">
        <v>349</v>
      </c>
      <c r="B74" s="400"/>
      <c r="C74" s="416">
        <f>B153</f>
        <v>7.9000000000000001E-2</v>
      </c>
      <c r="D74" s="417" t="s">
        <v>348</v>
      </c>
      <c r="E74" s="419">
        <f>B74*C74</f>
        <v>0</v>
      </c>
      <c r="F74" s="105"/>
      <c r="G74" s="168"/>
      <c r="I74" s="145"/>
    </row>
    <row r="75" spans="1:12" ht="15" customHeight="1" x14ac:dyDescent="0.2">
      <c r="A75" s="381" t="s">
        <v>350</v>
      </c>
      <c r="B75" s="400"/>
      <c r="C75" s="416">
        <f>B154</f>
        <v>7.9000000000000001E-2</v>
      </c>
      <c r="D75" s="417" t="s">
        <v>348</v>
      </c>
      <c r="E75" s="419">
        <f>B75*C75</f>
        <v>0</v>
      </c>
      <c r="F75" s="105"/>
      <c r="G75" s="168"/>
      <c r="I75" s="145"/>
    </row>
    <row r="76" spans="1:12" x14ac:dyDescent="0.2">
      <c r="A76" s="373" t="s">
        <v>351</v>
      </c>
      <c r="B76" s="392"/>
      <c r="C76" s="420"/>
      <c r="D76" s="375"/>
      <c r="E76" s="376">
        <f>SUM(E72:E75)</f>
        <v>0</v>
      </c>
      <c r="F76" s="377"/>
      <c r="G76" s="378"/>
      <c r="I76" s="145"/>
      <c r="J76" s="421"/>
      <c r="K76" s="421"/>
      <c r="L76" s="421"/>
    </row>
    <row r="77" spans="1:12" ht="24.75" customHeight="1" x14ac:dyDescent="0.2">
      <c r="A77" s="96" t="s">
        <v>352</v>
      </c>
      <c r="B77" s="394"/>
      <c r="C77" s="422"/>
      <c r="D77" s="396"/>
      <c r="E77" s="397"/>
      <c r="F77" s="398"/>
      <c r="G77" s="413"/>
    </row>
    <row r="78" spans="1:12" x14ac:dyDescent="0.2">
      <c r="A78" s="97" t="s">
        <v>353</v>
      </c>
      <c r="B78" s="400"/>
      <c r="C78" s="423"/>
      <c r="D78" s="115"/>
      <c r="E78" s="424"/>
      <c r="F78" s="105"/>
      <c r="G78" s="123"/>
    </row>
    <row r="79" spans="1:12" ht="15" customHeight="1" x14ac:dyDescent="0.2">
      <c r="A79" s="425" t="s">
        <v>354</v>
      </c>
      <c r="B79" s="400"/>
      <c r="C79" s="423"/>
      <c r="D79" s="115"/>
      <c r="E79" s="424"/>
      <c r="F79" s="105"/>
      <c r="G79" s="175"/>
    </row>
    <row r="80" spans="1:12" ht="15" customHeight="1" x14ac:dyDescent="0.2">
      <c r="A80" s="116" t="s">
        <v>355</v>
      </c>
      <c r="B80" s="400"/>
      <c r="C80" s="423"/>
      <c r="D80" s="115"/>
      <c r="E80" s="424"/>
      <c r="F80" s="105"/>
      <c r="G80" s="175"/>
    </row>
    <row r="81" spans="1:9" x14ac:dyDescent="0.2">
      <c r="A81" s="373" t="s">
        <v>356</v>
      </c>
      <c r="B81" s="426">
        <f>B78*B79*2*B80</f>
        <v>0</v>
      </c>
      <c r="C81" s="427">
        <f>B149</f>
        <v>0.1399</v>
      </c>
      <c r="D81" s="426" t="s">
        <v>346</v>
      </c>
      <c r="E81" s="376">
        <f>B81*C81</f>
        <v>0</v>
      </c>
      <c r="F81" s="377"/>
      <c r="G81" s="378"/>
      <c r="I81" s="145"/>
    </row>
    <row r="82" spans="1:9" ht="24.75" customHeight="1" x14ac:dyDescent="0.2">
      <c r="A82" s="96" t="s">
        <v>357</v>
      </c>
      <c r="B82" s="396"/>
      <c r="C82" s="422"/>
      <c r="D82" s="396"/>
      <c r="E82" s="397"/>
      <c r="F82" s="398"/>
      <c r="G82" s="413"/>
    </row>
    <row r="83" spans="1:9" ht="15" customHeight="1" x14ac:dyDescent="0.2">
      <c r="A83" s="116" t="s">
        <v>358</v>
      </c>
      <c r="B83" s="98">
        <f>G.!B16</f>
        <v>0</v>
      </c>
      <c r="C83" s="379">
        <f>B112</f>
        <v>40</v>
      </c>
      <c r="D83" s="428" t="s">
        <v>359</v>
      </c>
      <c r="E83" s="419">
        <f>B83*C83</f>
        <v>0</v>
      </c>
      <c r="F83" s="105"/>
      <c r="G83" s="123"/>
    </row>
    <row r="84" spans="1:9" x14ac:dyDescent="0.2">
      <c r="A84" s="97" t="s">
        <v>360</v>
      </c>
      <c r="B84" s="98">
        <f>'C.'!B24</f>
        <v>0</v>
      </c>
      <c r="C84" s="379">
        <f>B111</f>
        <v>38</v>
      </c>
      <c r="D84" s="428" t="s">
        <v>359</v>
      </c>
      <c r="E84" s="419">
        <f>B84*C84</f>
        <v>0</v>
      </c>
      <c r="F84" s="105"/>
      <c r="G84" s="175"/>
    </row>
    <row r="85" spans="1:9" x14ac:dyDescent="0.2">
      <c r="A85" s="373" t="s">
        <v>361</v>
      </c>
      <c r="B85" s="375"/>
      <c r="C85" s="420"/>
      <c r="D85" s="375"/>
      <c r="E85" s="376">
        <f>SUM(E83:E84)</f>
        <v>0</v>
      </c>
      <c r="F85" s="377"/>
      <c r="G85" s="378"/>
    </row>
    <row r="86" spans="1:9" ht="24.75" customHeight="1" x14ac:dyDescent="0.2">
      <c r="A86" s="96" t="s">
        <v>362</v>
      </c>
      <c r="B86" s="94" t="s">
        <v>363</v>
      </c>
      <c r="C86" s="422"/>
      <c r="D86" s="396"/>
      <c r="E86" s="397"/>
      <c r="F86" s="398"/>
      <c r="G86" s="413"/>
    </row>
    <row r="87" spans="1:9" s="337" customFormat="1" x14ac:dyDescent="0.2">
      <c r="A87" s="166" t="s">
        <v>167</v>
      </c>
      <c r="B87" s="429">
        <f>'C.'!B11</f>
        <v>0</v>
      </c>
      <c r="C87" s="379">
        <f t="shared" ref="C87:C92" si="3">B102</f>
        <v>0.56999999999999995</v>
      </c>
      <c r="D87" s="115" t="s">
        <v>364</v>
      </c>
      <c r="E87" s="419">
        <f t="shared" ref="E87:E94" si="4">B87*C87</f>
        <v>0</v>
      </c>
      <c r="F87" s="105"/>
      <c r="G87" s="123"/>
    </row>
    <row r="88" spans="1:9" s="337" customFormat="1" x14ac:dyDescent="0.2">
      <c r="A88" s="166" t="s">
        <v>168</v>
      </c>
      <c r="B88" s="429">
        <f>'C.'!B12</f>
        <v>0</v>
      </c>
      <c r="C88" s="416">
        <f t="shared" si="3"/>
        <v>0.56999999999999995</v>
      </c>
      <c r="D88" s="115" t="s">
        <v>364</v>
      </c>
      <c r="E88" s="419">
        <f t="shared" si="4"/>
        <v>0</v>
      </c>
      <c r="F88" s="105"/>
      <c r="G88" s="123"/>
      <c r="I88" s="405"/>
    </row>
    <row r="89" spans="1:9" s="337" customFormat="1" x14ac:dyDescent="0.2">
      <c r="A89" s="166" t="s">
        <v>169</v>
      </c>
      <c r="B89" s="429">
        <f>'C.'!B13</f>
        <v>0</v>
      </c>
      <c r="C89" s="379">
        <f t="shared" si="3"/>
        <v>0.46</v>
      </c>
      <c r="D89" s="115" t="s">
        <v>364</v>
      </c>
      <c r="E89" s="419">
        <f t="shared" si="4"/>
        <v>0</v>
      </c>
      <c r="F89" s="105"/>
      <c r="G89" s="123"/>
      <c r="I89" s="405"/>
    </row>
    <row r="90" spans="1:9" s="337" customFormat="1" x14ac:dyDescent="0.2">
      <c r="A90" s="430" t="s">
        <v>365</v>
      </c>
      <c r="B90" s="429">
        <f>'C.'!B14</f>
        <v>0</v>
      </c>
      <c r="C90" s="431">
        <f t="shared" si="3"/>
        <v>0.27</v>
      </c>
      <c r="D90" s="115" t="s">
        <v>364</v>
      </c>
      <c r="E90" s="419">
        <f t="shared" si="4"/>
        <v>0</v>
      </c>
      <c r="F90" s="105"/>
      <c r="G90" s="123"/>
      <c r="I90" s="405"/>
    </row>
    <row r="91" spans="1:9" s="337" customFormat="1" x14ac:dyDescent="0.2">
      <c r="A91" s="430" t="s">
        <v>221</v>
      </c>
      <c r="B91" s="429">
        <f>'C.'!B15</f>
        <v>0</v>
      </c>
      <c r="C91" s="431">
        <f t="shared" si="3"/>
        <v>0.26</v>
      </c>
      <c r="D91" s="115" t="s">
        <v>364</v>
      </c>
      <c r="E91" s="419">
        <f t="shared" si="4"/>
        <v>0</v>
      </c>
      <c r="F91" s="105"/>
      <c r="G91" s="123"/>
      <c r="I91" s="405"/>
    </row>
    <row r="92" spans="1:9" s="337" customFormat="1" x14ac:dyDescent="0.2">
      <c r="A92" s="116" t="s">
        <v>222</v>
      </c>
      <c r="B92" s="429">
        <f>'C.'!B17</f>
        <v>0</v>
      </c>
      <c r="C92" s="379">
        <f t="shared" si="3"/>
        <v>0.39</v>
      </c>
      <c r="D92" s="386" t="s">
        <v>311</v>
      </c>
      <c r="E92" s="419">
        <f t="shared" si="4"/>
        <v>0</v>
      </c>
      <c r="F92" s="105"/>
      <c r="G92" s="131"/>
      <c r="I92" s="405"/>
    </row>
    <row r="93" spans="1:9" s="337" customFormat="1" x14ac:dyDescent="0.2">
      <c r="A93" s="116" t="s">
        <v>174</v>
      </c>
      <c r="B93" s="429">
        <f>'C.'!B18</f>
        <v>0</v>
      </c>
      <c r="C93" s="379">
        <f>B109</f>
        <v>0.36</v>
      </c>
      <c r="D93" s="386" t="s">
        <v>311</v>
      </c>
      <c r="E93" s="419">
        <f t="shared" si="4"/>
        <v>0</v>
      </c>
      <c r="F93" s="105"/>
      <c r="G93" s="432"/>
      <c r="I93" s="405"/>
    </row>
    <row r="94" spans="1:9" s="337" customFormat="1" x14ac:dyDescent="0.2">
      <c r="A94" s="174" t="s">
        <v>175</v>
      </c>
      <c r="B94" s="122">
        <f>'C.'!B19</f>
        <v>0</v>
      </c>
      <c r="C94" s="433">
        <f>B108</f>
        <v>0.36</v>
      </c>
      <c r="D94" s="434" t="s">
        <v>311</v>
      </c>
      <c r="E94" s="435">
        <f t="shared" si="4"/>
        <v>0</v>
      </c>
      <c r="F94" s="121"/>
      <c r="G94" s="404"/>
      <c r="I94" s="405"/>
    </row>
    <row r="95" spans="1:9" x14ac:dyDescent="0.2">
      <c r="A95" s="373" t="s">
        <v>366</v>
      </c>
      <c r="B95" s="375"/>
      <c r="C95" s="436"/>
      <c r="D95" s="375"/>
      <c r="E95" s="437">
        <f>SUM(E87:E94)</f>
        <v>0</v>
      </c>
      <c r="F95" s="438"/>
      <c r="G95" s="438"/>
    </row>
    <row r="96" spans="1:9" x14ac:dyDescent="0.2">
      <c r="A96" s="196" t="s">
        <v>367</v>
      </c>
      <c r="B96" s="439"/>
      <c r="C96" s="439"/>
      <c r="D96" s="440"/>
      <c r="E96" s="441">
        <f>E39+E51+E57+E70+E76+E81+E85+E95</f>
        <v>0</v>
      </c>
      <c r="F96" s="438" t="s">
        <v>368</v>
      </c>
      <c r="G96" s="438"/>
    </row>
    <row r="97" spans="1:8" ht="15" customHeight="1" x14ac:dyDescent="0.2">
      <c r="A97" s="28"/>
      <c r="C97" s="14"/>
      <c r="D97" s="442"/>
      <c r="E97" s="442"/>
      <c r="F97" s="14"/>
      <c r="G97" s="14"/>
    </row>
    <row r="98" spans="1:8" ht="15" customHeight="1" x14ac:dyDescent="0.2">
      <c r="A98" s="28" t="s">
        <v>369</v>
      </c>
      <c r="C98" s="14"/>
      <c r="D98" s="442"/>
      <c r="E98" s="442"/>
      <c r="F98" s="14"/>
      <c r="G98" s="14"/>
    </row>
    <row r="99" spans="1:8" ht="15" customHeight="1" x14ac:dyDescent="0.2">
      <c r="A99" s="28"/>
      <c r="C99" s="14"/>
      <c r="D99" s="14"/>
      <c r="E99" s="125"/>
    </row>
    <row r="100" spans="1:8" ht="24.75" customHeight="1" x14ac:dyDescent="0.2">
      <c r="A100" s="71" t="s">
        <v>370</v>
      </c>
      <c r="C100" s="145"/>
      <c r="D100" s="443"/>
      <c r="E100" s="444"/>
    </row>
    <row r="101" spans="1:8" ht="24.75" customHeight="1" x14ac:dyDescent="0.2">
      <c r="A101" s="96" t="s">
        <v>245</v>
      </c>
      <c r="B101" s="445" t="s">
        <v>267</v>
      </c>
      <c r="C101" s="96"/>
      <c r="D101" s="5" t="s">
        <v>247</v>
      </c>
      <c r="E101" s="5"/>
      <c r="F101" s="5"/>
      <c r="G101" s="314" t="s">
        <v>248</v>
      </c>
    </row>
    <row r="102" spans="1:8" x14ac:dyDescent="0.2">
      <c r="A102" s="116" t="s">
        <v>371</v>
      </c>
      <c r="B102" s="320">
        <v>0.56999999999999995</v>
      </c>
      <c r="C102" s="446" t="s">
        <v>250</v>
      </c>
      <c r="D102" s="4" t="s">
        <v>372</v>
      </c>
      <c r="E102" s="4"/>
      <c r="F102" s="4"/>
      <c r="G102" s="314"/>
      <c r="H102" s="227" t="s">
        <v>373</v>
      </c>
    </row>
    <row r="103" spans="1:8" x14ac:dyDescent="0.2">
      <c r="A103" s="447" t="s">
        <v>374</v>
      </c>
      <c r="B103" s="320">
        <v>0.56999999999999995</v>
      </c>
      <c r="C103" s="446" t="s">
        <v>250</v>
      </c>
      <c r="D103" s="4" t="s">
        <v>375</v>
      </c>
      <c r="E103" s="4"/>
      <c r="F103" s="4"/>
      <c r="G103" s="314"/>
    </row>
    <row r="104" spans="1:8" x14ac:dyDescent="0.2">
      <c r="A104" s="447" t="s">
        <v>376</v>
      </c>
      <c r="B104" s="320">
        <v>0.46</v>
      </c>
      <c r="C104" s="446" t="s">
        <v>250</v>
      </c>
      <c r="D104" s="4" t="s">
        <v>375</v>
      </c>
      <c r="E104" s="4"/>
      <c r="F104" s="4"/>
      <c r="G104" s="314"/>
    </row>
    <row r="105" spans="1:8" x14ac:dyDescent="0.2">
      <c r="A105" s="430" t="s">
        <v>377</v>
      </c>
      <c r="B105" s="320">
        <v>0.27</v>
      </c>
      <c r="C105" s="448" t="s">
        <v>250</v>
      </c>
      <c r="D105" s="4" t="s">
        <v>378</v>
      </c>
      <c r="E105" s="4"/>
      <c r="F105" s="4"/>
      <c r="G105" s="314"/>
    </row>
    <row r="106" spans="1:8" x14ac:dyDescent="0.2">
      <c r="A106" s="430" t="s">
        <v>221</v>
      </c>
      <c r="B106" s="320">
        <v>0.26</v>
      </c>
      <c r="C106" s="448" t="s">
        <v>250</v>
      </c>
      <c r="D106" s="4" t="s">
        <v>375</v>
      </c>
      <c r="E106" s="4"/>
      <c r="F106" s="4"/>
      <c r="G106" s="314"/>
    </row>
    <row r="107" spans="1:8" x14ac:dyDescent="0.2">
      <c r="A107" s="430" t="s">
        <v>379</v>
      </c>
      <c r="B107" s="449">
        <v>0.39</v>
      </c>
      <c r="C107" s="450" t="s">
        <v>261</v>
      </c>
      <c r="D107" s="4" t="s">
        <v>375</v>
      </c>
      <c r="E107" s="4"/>
      <c r="F107" s="4"/>
      <c r="G107" s="314"/>
    </row>
    <row r="108" spans="1:8" ht="15" customHeight="1" x14ac:dyDescent="0.2">
      <c r="A108" s="116" t="s">
        <v>175</v>
      </c>
      <c r="B108" s="320">
        <v>0.36</v>
      </c>
      <c r="C108" s="446" t="s">
        <v>261</v>
      </c>
      <c r="D108" s="4" t="s">
        <v>375</v>
      </c>
      <c r="E108" s="4"/>
      <c r="F108" s="4"/>
      <c r="G108" s="314"/>
    </row>
    <row r="109" spans="1:8" x14ac:dyDescent="0.2">
      <c r="A109" s="116" t="s">
        <v>380</v>
      </c>
      <c r="B109" s="320">
        <v>0.36</v>
      </c>
      <c r="C109" s="446" t="s">
        <v>261</v>
      </c>
      <c r="D109" s="4" t="s">
        <v>375</v>
      </c>
      <c r="E109" s="4"/>
      <c r="F109" s="4"/>
    </row>
    <row r="110" spans="1:8" ht="24.75" customHeight="1" x14ac:dyDescent="0.2">
      <c r="A110" s="96" t="s">
        <v>381</v>
      </c>
      <c r="B110" s="445" t="s">
        <v>267</v>
      </c>
      <c r="C110" s="96"/>
      <c r="D110" s="5" t="s">
        <v>247</v>
      </c>
      <c r="E110" s="5"/>
      <c r="F110" s="5"/>
    </row>
    <row r="111" spans="1:8" x14ac:dyDescent="0.2">
      <c r="A111" s="451" t="s">
        <v>382</v>
      </c>
      <c r="B111" s="452">
        <v>38</v>
      </c>
      <c r="C111" s="453" t="s">
        <v>269</v>
      </c>
      <c r="D111" s="3" t="s">
        <v>383</v>
      </c>
      <c r="E111" s="3"/>
      <c r="F111" s="3"/>
    </row>
    <row r="112" spans="1:8" ht="15" customHeight="1" x14ac:dyDescent="0.2">
      <c r="A112" s="451" t="s">
        <v>384</v>
      </c>
      <c r="B112" s="452">
        <v>40</v>
      </c>
      <c r="C112" s="453" t="s">
        <v>269</v>
      </c>
      <c r="D112" s="4" t="s">
        <v>385</v>
      </c>
      <c r="E112" s="4"/>
      <c r="F112" s="4"/>
      <c r="G112" s="227" t="s">
        <v>386</v>
      </c>
    </row>
    <row r="113" spans="1:7" ht="24.75" customHeight="1" x14ac:dyDescent="0.2">
      <c r="A113" s="96" t="s">
        <v>387</v>
      </c>
      <c r="B113" s="445" t="s">
        <v>267</v>
      </c>
      <c r="C113" s="96"/>
      <c r="D113" s="5" t="s">
        <v>247</v>
      </c>
      <c r="E113" s="5"/>
      <c r="F113" s="5"/>
    </row>
    <row r="114" spans="1:7" ht="15" customHeight="1" x14ac:dyDescent="0.2">
      <c r="A114" s="116" t="s">
        <v>388</v>
      </c>
      <c r="B114" s="368">
        <v>2600</v>
      </c>
      <c r="C114" s="116" t="s">
        <v>389</v>
      </c>
      <c r="D114" s="11" t="s">
        <v>390</v>
      </c>
      <c r="E114" s="11"/>
      <c r="F114" s="11"/>
    </row>
    <row r="115" spans="1:7" ht="15" customHeight="1" x14ac:dyDescent="0.2">
      <c r="A115" s="116" t="s">
        <v>291</v>
      </c>
      <c r="B115" s="368">
        <v>80</v>
      </c>
      <c r="C115" s="116" t="s">
        <v>389</v>
      </c>
      <c r="D115" s="97" t="s">
        <v>391</v>
      </c>
      <c r="E115" s="454">
        <v>45812</v>
      </c>
      <c r="F115" s="116" t="s">
        <v>392</v>
      </c>
    </row>
    <row r="116" spans="1:7" ht="15" customHeight="1" x14ac:dyDescent="0.2">
      <c r="A116" s="116" t="s">
        <v>292</v>
      </c>
      <c r="B116" s="368">
        <v>94</v>
      </c>
      <c r="C116" s="116" t="s">
        <v>389</v>
      </c>
      <c r="D116" s="97" t="s">
        <v>391</v>
      </c>
      <c r="E116" s="454">
        <v>45812</v>
      </c>
      <c r="F116" s="97"/>
    </row>
    <row r="117" spans="1:7" ht="15" customHeight="1" x14ac:dyDescent="0.2">
      <c r="A117" s="116" t="s">
        <v>293</v>
      </c>
      <c r="B117" s="368">
        <v>200</v>
      </c>
      <c r="C117" s="116" t="s">
        <v>389</v>
      </c>
      <c r="D117" s="97" t="s">
        <v>391</v>
      </c>
      <c r="E117" s="454">
        <v>45812</v>
      </c>
      <c r="F117" s="97"/>
    </row>
    <row r="118" spans="1:7" ht="15" customHeight="1" x14ac:dyDescent="0.2">
      <c r="A118" s="116" t="s">
        <v>294</v>
      </c>
      <c r="B118" s="368">
        <v>480</v>
      </c>
      <c r="C118" s="116" t="s">
        <v>389</v>
      </c>
      <c r="D118" s="97" t="s">
        <v>391</v>
      </c>
      <c r="E118" s="454">
        <v>45812</v>
      </c>
      <c r="F118" s="97"/>
    </row>
    <row r="119" spans="1:7" ht="15" customHeight="1" x14ac:dyDescent="0.2">
      <c r="A119" s="116" t="s">
        <v>295</v>
      </c>
      <c r="B119" s="368">
        <v>240</v>
      </c>
      <c r="C119" s="116" t="s">
        <v>389</v>
      </c>
      <c r="D119" s="97" t="s">
        <v>391</v>
      </c>
      <c r="E119" s="454">
        <v>45812</v>
      </c>
      <c r="F119" s="97"/>
    </row>
    <row r="120" spans="1:7" ht="15" customHeight="1" x14ac:dyDescent="0.2">
      <c r="A120" s="116" t="s">
        <v>296</v>
      </c>
      <c r="B120" s="368">
        <v>620</v>
      </c>
      <c r="C120" s="116" t="s">
        <v>389</v>
      </c>
      <c r="D120" s="97" t="s">
        <v>391</v>
      </c>
      <c r="E120" s="454">
        <v>45812</v>
      </c>
      <c r="F120" s="97"/>
    </row>
    <row r="121" spans="1:7" ht="15" customHeight="1" x14ac:dyDescent="0.2">
      <c r="A121" s="116" t="s">
        <v>297</v>
      </c>
      <c r="B121" s="368">
        <v>710</v>
      </c>
      <c r="C121" s="116" t="s">
        <v>389</v>
      </c>
      <c r="D121" s="97" t="s">
        <v>391</v>
      </c>
      <c r="E121" s="454">
        <v>45812</v>
      </c>
      <c r="F121" s="97"/>
    </row>
    <row r="122" spans="1:7" ht="15" customHeight="1" x14ac:dyDescent="0.2">
      <c r="A122" s="116" t="s">
        <v>298</v>
      </c>
      <c r="B122" s="368">
        <v>480</v>
      </c>
      <c r="C122" s="116" t="s">
        <v>389</v>
      </c>
      <c r="D122" s="97" t="s">
        <v>391</v>
      </c>
      <c r="E122" s="454">
        <v>45812</v>
      </c>
      <c r="F122" s="97"/>
    </row>
    <row r="123" spans="1:7" ht="15" customHeight="1" x14ac:dyDescent="0.2">
      <c r="A123" s="116" t="s">
        <v>299</v>
      </c>
      <c r="B123" s="368">
        <v>590</v>
      </c>
      <c r="C123" s="116" t="s">
        <v>389</v>
      </c>
      <c r="D123" s="97" t="s">
        <v>391</v>
      </c>
      <c r="E123" s="454">
        <v>45812</v>
      </c>
      <c r="F123" s="97"/>
    </row>
    <row r="124" spans="1:7" ht="15" customHeight="1" x14ac:dyDescent="0.2">
      <c r="A124" s="116" t="s">
        <v>300</v>
      </c>
      <c r="B124" s="368">
        <v>500</v>
      </c>
      <c r="C124" s="116" t="s">
        <v>389</v>
      </c>
      <c r="D124" s="97" t="s">
        <v>391</v>
      </c>
      <c r="E124" s="454">
        <v>45812</v>
      </c>
      <c r="F124" s="97"/>
    </row>
    <row r="125" spans="1:7" ht="15" customHeight="1" x14ac:dyDescent="0.2">
      <c r="A125" s="116" t="s">
        <v>301</v>
      </c>
      <c r="B125" s="368">
        <v>660</v>
      </c>
      <c r="C125" s="116" t="s">
        <v>389</v>
      </c>
      <c r="D125" s="97" t="s">
        <v>391</v>
      </c>
      <c r="E125" s="454">
        <v>45812</v>
      </c>
      <c r="F125" s="97"/>
    </row>
    <row r="126" spans="1:7" ht="15" customHeight="1" x14ac:dyDescent="0.2">
      <c r="A126" s="116" t="s">
        <v>302</v>
      </c>
      <c r="B126" s="368">
        <v>700</v>
      </c>
      <c r="C126" s="116" t="s">
        <v>389</v>
      </c>
      <c r="D126" s="97" t="s">
        <v>391</v>
      </c>
      <c r="E126" s="454">
        <v>45812</v>
      </c>
      <c r="F126" s="97"/>
    </row>
    <row r="127" spans="1:7" ht="15" customHeight="1" x14ac:dyDescent="0.2">
      <c r="A127" s="116" t="s">
        <v>303</v>
      </c>
      <c r="B127" s="368">
        <v>910</v>
      </c>
      <c r="C127" s="116" t="s">
        <v>389</v>
      </c>
      <c r="D127" s="97" t="s">
        <v>391</v>
      </c>
      <c r="E127" s="454">
        <v>45812</v>
      </c>
      <c r="F127" s="97"/>
    </row>
    <row r="128" spans="1:7" ht="15" customHeight="1" x14ac:dyDescent="0.2">
      <c r="A128" s="116" t="s">
        <v>317</v>
      </c>
      <c r="B128" s="368"/>
      <c r="C128" s="116"/>
      <c r="D128" s="97"/>
      <c r="E128" s="97"/>
      <c r="F128" s="97"/>
      <c r="G128" s="191" t="s">
        <v>393</v>
      </c>
    </row>
    <row r="129" spans="1:8" ht="15" customHeight="1" x14ac:dyDescent="0.2">
      <c r="A129" s="116" t="s">
        <v>318</v>
      </c>
      <c r="B129" s="368"/>
      <c r="C129" s="116"/>
      <c r="D129" s="97"/>
      <c r="E129" s="97"/>
      <c r="F129" s="97"/>
      <c r="G129" s="191" t="s">
        <v>393</v>
      </c>
    </row>
    <row r="130" spans="1:8" ht="15" customHeight="1" x14ac:dyDescent="0.2">
      <c r="A130" s="116" t="s">
        <v>319</v>
      </c>
      <c r="B130" s="368"/>
      <c r="C130" s="116"/>
      <c r="D130" s="97"/>
      <c r="E130" s="97"/>
      <c r="F130" s="97"/>
      <c r="G130" s="191" t="s">
        <v>393</v>
      </c>
    </row>
    <row r="131" spans="1:8" ht="15" customHeight="1" x14ac:dyDescent="0.2">
      <c r="A131" s="116" t="s">
        <v>320</v>
      </c>
      <c r="B131" s="368"/>
      <c r="C131" s="116"/>
      <c r="D131" s="97"/>
      <c r="E131" s="97"/>
      <c r="F131" s="97"/>
      <c r="G131" s="191" t="s">
        <v>393</v>
      </c>
    </row>
    <row r="132" spans="1:8" ht="15" customHeight="1" x14ac:dyDescent="0.2">
      <c r="A132" s="116" t="s">
        <v>321</v>
      </c>
      <c r="B132" s="368"/>
      <c r="C132" s="116"/>
      <c r="D132" s="97"/>
      <c r="E132" s="97"/>
      <c r="F132" s="97"/>
      <c r="G132" s="191" t="s">
        <v>393</v>
      </c>
    </row>
    <row r="133" spans="1:8" x14ac:dyDescent="0.2">
      <c r="A133" s="116" t="s">
        <v>394</v>
      </c>
      <c r="B133" s="368">
        <v>8300</v>
      </c>
      <c r="C133" s="116" t="s">
        <v>389</v>
      </c>
      <c r="D133" s="2" t="s">
        <v>395</v>
      </c>
      <c r="E133" s="2"/>
      <c r="F133" s="2"/>
    </row>
    <row r="134" spans="1:8" x14ac:dyDescent="0.2">
      <c r="A134" s="28"/>
      <c r="B134" s="455"/>
      <c r="C134" s="28"/>
      <c r="D134" s="28"/>
      <c r="E134" s="456"/>
    </row>
    <row r="135" spans="1:8" ht="24.75" customHeight="1" x14ac:dyDescent="0.2">
      <c r="A135" s="96" t="s">
        <v>312</v>
      </c>
      <c r="B135" s="445" t="s">
        <v>267</v>
      </c>
      <c r="C135" s="96"/>
      <c r="D135" s="5" t="s">
        <v>247</v>
      </c>
      <c r="E135" s="5"/>
      <c r="F135" s="5"/>
    </row>
    <row r="136" spans="1:8" ht="15" customHeight="1" x14ac:dyDescent="0.2">
      <c r="A136" s="116" t="s">
        <v>396</v>
      </c>
      <c r="B136" s="368">
        <v>5.4</v>
      </c>
      <c r="C136" s="116" t="s">
        <v>311</v>
      </c>
      <c r="D136" s="11" t="s">
        <v>397</v>
      </c>
      <c r="E136" s="11"/>
      <c r="F136" s="11"/>
      <c r="G136" s="191" t="s">
        <v>398</v>
      </c>
    </row>
    <row r="137" spans="1:8" ht="15" customHeight="1" x14ac:dyDescent="0.2">
      <c r="A137" s="381" t="s">
        <v>399</v>
      </c>
      <c r="B137" s="457">
        <v>1.2</v>
      </c>
      <c r="C137" s="116" t="s">
        <v>311</v>
      </c>
      <c r="D137" s="446" t="s">
        <v>400</v>
      </c>
      <c r="E137" s="458"/>
      <c r="F137" s="459"/>
      <c r="G137" s="460"/>
    </row>
    <row r="138" spans="1:8" ht="15" customHeight="1" x14ac:dyDescent="0.2">
      <c r="A138" s="381" t="s">
        <v>401</v>
      </c>
      <c r="B138" s="457">
        <v>5.6</v>
      </c>
      <c r="C138" s="116" t="s">
        <v>311</v>
      </c>
      <c r="D138" s="446" t="s">
        <v>402</v>
      </c>
      <c r="E138" s="458"/>
      <c r="F138" s="459"/>
    </row>
    <row r="139" spans="1:8" ht="15" customHeight="1" x14ac:dyDescent="0.2">
      <c r="A139" s="381" t="s">
        <v>403</v>
      </c>
      <c r="B139" s="461">
        <v>0.65080000000000005</v>
      </c>
      <c r="C139" s="381" t="s">
        <v>314</v>
      </c>
      <c r="D139" s="446" t="s">
        <v>404</v>
      </c>
      <c r="E139" s="458"/>
      <c r="F139" s="459"/>
    </row>
    <row r="140" spans="1:8" ht="15" customHeight="1" x14ac:dyDescent="0.2">
      <c r="A140" s="381" t="s">
        <v>405</v>
      </c>
      <c r="B140" s="461">
        <v>0.24390000000000001</v>
      </c>
      <c r="C140" s="381" t="s">
        <v>314</v>
      </c>
      <c r="D140" s="1" t="s">
        <v>404</v>
      </c>
      <c r="E140" s="1"/>
      <c r="F140" s="1"/>
    </row>
    <row r="141" spans="1:8" x14ac:dyDescent="0.2">
      <c r="A141" s="462"/>
      <c r="B141" s="463"/>
      <c r="C141" s="28"/>
      <c r="D141" s="28"/>
      <c r="E141" s="456"/>
    </row>
    <row r="142" spans="1:8" ht="24.75" customHeight="1" x14ac:dyDescent="0.2">
      <c r="A142" s="96" t="s">
        <v>406</v>
      </c>
      <c r="B142" s="445" t="s">
        <v>267</v>
      </c>
      <c r="C142" s="96"/>
      <c r="D142" s="593" t="s">
        <v>407</v>
      </c>
      <c r="E142" s="593"/>
      <c r="F142" s="593"/>
    </row>
    <row r="143" spans="1:8" ht="15.75" customHeight="1" x14ac:dyDescent="0.2">
      <c r="A143" s="447" t="s">
        <v>408</v>
      </c>
      <c r="B143" s="464">
        <v>0.92100000000000004</v>
      </c>
      <c r="C143" s="453" t="s">
        <v>409</v>
      </c>
      <c r="D143" s="594" t="s">
        <v>410</v>
      </c>
      <c r="E143" s="594"/>
      <c r="F143" s="594"/>
      <c r="G143" s="595"/>
      <c r="H143" s="595"/>
    </row>
    <row r="144" spans="1:8" ht="15.75" customHeight="1" x14ac:dyDescent="0.2">
      <c r="A144" s="447" t="s">
        <v>411</v>
      </c>
      <c r="B144" s="465">
        <v>0.51</v>
      </c>
      <c r="C144" s="453" t="s">
        <v>409</v>
      </c>
      <c r="D144" s="594" t="s">
        <v>410</v>
      </c>
      <c r="E144" s="594"/>
      <c r="F144" s="594"/>
      <c r="G144" s="595"/>
      <c r="H144" s="595"/>
    </row>
    <row r="145" spans="1:8" ht="15.75" customHeight="1" x14ac:dyDescent="0.2">
      <c r="A145" s="381" t="s">
        <v>412</v>
      </c>
      <c r="B145" s="466">
        <v>0.14099999999999999</v>
      </c>
      <c r="C145" s="467" t="s">
        <v>413</v>
      </c>
      <c r="D145" s="596" t="s">
        <v>414</v>
      </c>
      <c r="E145" s="596"/>
      <c r="F145" s="596"/>
    </row>
    <row r="146" spans="1:8" ht="15.75" customHeight="1" x14ac:dyDescent="0.2">
      <c r="A146" s="389" t="s">
        <v>415</v>
      </c>
      <c r="B146" s="466">
        <v>7.6999999999999999E-2</v>
      </c>
      <c r="C146" s="467" t="s">
        <v>413</v>
      </c>
      <c r="D146" s="596" t="s">
        <v>414</v>
      </c>
      <c r="E146" s="596"/>
      <c r="F146" s="596"/>
    </row>
    <row r="147" spans="1:8" ht="15.75" customHeight="1" x14ac:dyDescent="0.2">
      <c r="A147" s="389" t="s">
        <v>416</v>
      </c>
      <c r="B147" s="466">
        <v>5.8000000000000003E-2</v>
      </c>
      <c r="C147" s="467" t="s">
        <v>413</v>
      </c>
      <c r="D147" s="596" t="s">
        <v>414</v>
      </c>
      <c r="E147" s="596"/>
      <c r="F147" s="596"/>
    </row>
    <row r="148" spans="1:8" ht="15.75" customHeight="1" x14ac:dyDescent="0.2">
      <c r="A148" s="381" t="s">
        <v>417</v>
      </c>
      <c r="B148" s="466">
        <v>4.4999999999999998E-2</v>
      </c>
      <c r="C148" s="467" t="s">
        <v>413</v>
      </c>
      <c r="D148" s="596" t="s">
        <v>414</v>
      </c>
      <c r="E148" s="596"/>
      <c r="F148" s="596"/>
    </row>
    <row r="149" spans="1:8" ht="33.75" customHeight="1" x14ac:dyDescent="0.2">
      <c r="A149" s="468" t="s">
        <v>418</v>
      </c>
      <c r="B149" s="469">
        <f>139.9/1000</f>
        <v>0.1399</v>
      </c>
      <c r="C149" s="150" t="s">
        <v>419</v>
      </c>
      <c r="D149" s="597" t="s">
        <v>420</v>
      </c>
      <c r="E149" s="597"/>
      <c r="F149" s="597"/>
    </row>
    <row r="150" spans="1:8" ht="24.75" customHeight="1" x14ac:dyDescent="0.2">
      <c r="A150" s="96" t="s">
        <v>421</v>
      </c>
      <c r="B150" s="445" t="s">
        <v>267</v>
      </c>
      <c r="C150" s="470"/>
      <c r="D150" s="5" t="s">
        <v>247</v>
      </c>
      <c r="E150" s="5"/>
      <c r="F150" s="5"/>
      <c r="G150" s="421"/>
      <c r="H150" s="471"/>
    </row>
    <row r="151" spans="1:8" ht="15" customHeight="1" x14ac:dyDescent="0.2">
      <c r="A151" s="177" t="s">
        <v>422</v>
      </c>
      <c r="B151" s="416">
        <v>0.14299999999999999</v>
      </c>
      <c r="C151" s="472" t="s">
        <v>419</v>
      </c>
      <c r="D151" s="598" t="s">
        <v>423</v>
      </c>
      <c r="E151" s="598"/>
      <c r="F151" s="598"/>
      <c r="G151" s="599" t="s">
        <v>424</v>
      </c>
      <c r="H151" s="599"/>
    </row>
    <row r="152" spans="1:8" ht="15.75" customHeight="1" x14ac:dyDescent="0.2">
      <c r="A152" s="315" t="s">
        <v>425</v>
      </c>
      <c r="B152" s="416">
        <v>0.09</v>
      </c>
      <c r="C152" s="472" t="s">
        <v>419</v>
      </c>
      <c r="D152" s="598" t="s">
        <v>423</v>
      </c>
      <c r="E152" s="598"/>
      <c r="F152" s="598"/>
      <c r="G152" s="599"/>
      <c r="H152" s="599"/>
    </row>
    <row r="153" spans="1:8" ht="15.75" customHeight="1" x14ac:dyDescent="0.2">
      <c r="A153" s="177" t="s">
        <v>426</v>
      </c>
      <c r="B153" s="416">
        <v>7.9000000000000001E-2</v>
      </c>
      <c r="C153" s="472" t="s">
        <v>419</v>
      </c>
      <c r="D153" s="598" t="s">
        <v>423</v>
      </c>
      <c r="E153" s="598"/>
      <c r="F153" s="598"/>
      <c r="G153" s="599"/>
      <c r="H153" s="599"/>
    </row>
    <row r="154" spans="1:8" ht="15" customHeight="1" x14ac:dyDescent="0.2">
      <c r="A154" s="177" t="s">
        <v>427</v>
      </c>
      <c r="B154" s="416">
        <v>7.9000000000000001E-2</v>
      </c>
      <c r="C154" s="472" t="s">
        <v>419</v>
      </c>
      <c r="D154" s="598" t="s">
        <v>423</v>
      </c>
      <c r="E154" s="598"/>
      <c r="F154" s="598"/>
      <c r="G154" s="599"/>
      <c r="H154" s="599"/>
    </row>
    <row r="155" spans="1:8" ht="24.75" customHeight="1" x14ac:dyDescent="0.2">
      <c r="A155" s="473" t="s">
        <v>428</v>
      </c>
      <c r="B155" s="474">
        <f>499/1000</f>
        <v>0.499</v>
      </c>
      <c r="C155" s="475" t="s">
        <v>264</v>
      </c>
      <c r="D155" s="5" t="s">
        <v>247</v>
      </c>
      <c r="E155" s="5"/>
      <c r="F155" s="5"/>
    </row>
    <row r="156" spans="1:8" x14ac:dyDescent="0.2">
      <c r="A156" s="144"/>
      <c r="B156" s="476"/>
      <c r="C156" s="477"/>
      <c r="D156" s="14"/>
      <c r="E156" s="456"/>
    </row>
    <row r="157" spans="1:8" ht="24.75" customHeight="1" x14ac:dyDescent="0.2">
      <c r="A157" s="96" t="s">
        <v>429</v>
      </c>
      <c r="B157" s="445" t="s">
        <v>267</v>
      </c>
      <c r="C157" s="478"/>
      <c r="D157" s="5" t="s">
        <v>247</v>
      </c>
      <c r="E157" s="5"/>
      <c r="F157" s="5"/>
    </row>
    <row r="158" spans="1:8" ht="15" customHeight="1" x14ac:dyDescent="0.2">
      <c r="A158" s="116" t="s">
        <v>430</v>
      </c>
      <c r="B158" s="368">
        <v>400</v>
      </c>
      <c r="C158" s="447" t="s">
        <v>290</v>
      </c>
      <c r="D158" s="600" t="s">
        <v>431</v>
      </c>
      <c r="E158" s="600"/>
      <c r="F158" s="600"/>
    </row>
    <row r="159" spans="1:8" ht="15.75" customHeight="1" x14ac:dyDescent="0.2">
      <c r="A159" s="116" t="s">
        <v>338</v>
      </c>
      <c r="B159" s="368">
        <v>143</v>
      </c>
      <c r="C159" s="447" t="s">
        <v>290</v>
      </c>
      <c r="D159" s="600" t="s">
        <v>431</v>
      </c>
      <c r="E159" s="600"/>
      <c r="F159" s="600"/>
    </row>
    <row r="160" spans="1:8" ht="15.75" customHeight="1" x14ac:dyDescent="0.2">
      <c r="A160" s="116" t="s">
        <v>432</v>
      </c>
      <c r="B160" s="368">
        <v>24.6</v>
      </c>
      <c r="C160" s="447" t="s">
        <v>290</v>
      </c>
      <c r="D160" s="600" t="s">
        <v>431</v>
      </c>
      <c r="E160" s="600"/>
      <c r="F160" s="600"/>
    </row>
    <row r="161" spans="1:6" ht="15.75" customHeight="1" x14ac:dyDescent="0.2">
      <c r="A161" s="116" t="s">
        <v>336</v>
      </c>
      <c r="B161" s="368">
        <v>366</v>
      </c>
      <c r="C161" s="447" t="s">
        <v>290</v>
      </c>
      <c r="D161" s="600" t="s">
        <v>431</v>
      </c>
      <c r="E161" s="600"/>
      <c r="F161" s="600"/>
    </row>
    <row r="162" spans="1:6" ht="15.75" customHeight="1" x14ac:dyDescent="0.2">
      <c r="A162" s="116" t="s">
        <v>433</v>
      </c>
      <c r="B162" s="368">
        <v>119</v>
      </c>
      <c r="C162" s="447" t="s">
        <v>290</v>
      </c>
      <c r="D162" s="600" t="s">
        <v>431</v>
      </c>
      <c r="E162" s="600"/>
      <c r="F162" s="600"/>
    </row>
    <row r="163" spans="1:6" ht="15.75" customHeight="1" x14ac:dyDescent="0.2">
      <c r="A163" s="116" t="s">
        <v>434</v>
      </c>
      <c r="B163" s="368">
        <v>56.7</v>
      </c>
      <c r="C163" s="447" t="s">
        <v>290</v>
      </c>
      <c r="D163" s="600" t="s">
        <v>431</v>
      </c>
      <c r="E163" s="600"/>
      <c r="F163" s="600"/>
    </row>
    <row r="164" spans="1:6" ht="15.75" customHeight="1" x14ac:dyDescent="0.2">
      <c r="A164" s="116" t="s">
        <v>435</v>
      </c>
      <c r="B164" s="368">
        <v>1170</v>
      </c>
      <c r="C164" s="447" t="s">
        <v>290</v>
      </c>
      <c r="D164" s="600" t="s">
        <v>431</v>
      </c>
      <c r="E164" s="600"/>
      <c r="F164" s="600"/>
    </row>
    <row r="165" spans="1:6" ht="15.75" customHeight="1" x14ac:dyDescent="0.2">
      <c r="A165" s="116" t="s">
        <v>436</v>
      </c>
      <c r="B165" s="368">
        <v>53.4</v>
      </c>
      <c r="C165" s="447" t="s">
        <v>290</v>
      </c>
      <c r="D165" s="600" t="s">
        <v>431</v>
      </c>
      <c r="E165" s="600"/>
      <c r="F165" s="600"/>
    </row>
    <row r="166" spans="1:6" ht="15.75" customHeight="1" x14ac:dyDescent="0.2">
      <c r="A166" s="116" t="s">
        <v>437</v>
      </c>
      <c r="B166" s="368">
        <v>72.599999999999994</v>
      </c>
      <c r="C166" s="447" t="s">
        <v>290</v>
      </c>
      <c r="D166" s="600" t="s">
        <v>431</v>
      </c>
      <c r="E166" s="600"/>
      <c r="F166" s="600"/>
    </row>
    <row r="167" spans="1:6" x14ac:dyDescent="0.2">
      <c r="A167" s="42"/>
      <c r="C167" s="460"/>
    </row>
  </sheetData>
  <mergeCells count="45">
    <mergeCell ref="D162:F162"/>
    <mergeCell ref="D163:F163"/>
    <mergeCell ref="D164:F164"/>
    <mergeCell ref="D165:F165"/>
    <mergeCell ref="D166:F166"/>
    <mergeCell ref="D157:F157"/>
    <mergeCell ref="D158:F158"/>
    <mergeCell ref="D159:F159"/>
    <mergeCell ref="D160:F160"/>
    <mergeCell ref="D161:F161"/>
    <mergeCell ref="G151:H154"/>
    <mergeCell ref="D152:F152"/>
    <mergeCell ref="D153:F153"/>
    <mergeCell ref="D154:F154"/>
    <mergeCell ref="D155:F155"/>
    <mergeCell ref="D147:F147"/>
    <mergeCell ref="D148:F148"/>
    <mergeCell ref="D149:F149"/>
    <mergeCell ref="D150:F150"/>
    <mergeCell ref="D151:F151"/>
    <mergeCell ref="D143:F143"/>
    <mergeCell ref="G143:H144"/>
    <mergeCell ref="D144:F144"/>
    <mergeCell ref="D145:F145"/>
    <mergeCell ref="D146:F146"/>
    <mergeCell ref="D133:F133"/>
    <mergeCell ref="D135:F135"/>
    <mergeCell ref="D136:F136"/>
    <mergeCell ref="D140:F140"/>
    <mergeCell ref="D142:F142"/>
    <mergeCell ref="D110:F110"/>
    <mergeCell ref="D111:F111"/>
    <mergeCell ref="D112:F112"/>
    <mergeCell ref="D113:F113"/>
    <mergeCell ref="D114:F114"/>
    <mergeCell ref="D105:F105"/>
    <mergeCell ref="D106:F106"/>
    <mergeCell ref="D107:F107"/>
    <mergeCell ref="D108:F108"/>
    <mergeCell ref="D109:F109"/>
    <mergeCell ref="A16:G16"/>
    <mergeCell ref="D101:F101"/>
    <mergeCell ref="D102:F102"/>
    <mergeCell ref="D103:F103"/>
    <mergeCell ref="D104:F10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showGridLines="0" zoomScaleNormal="100" workbookViewId="0">
      <pane ySplit="1" topLeftCell="A2" activePane="bottomLeft" state="frozen"/>
      <selection pane="bottomLeft" activeCell="B10" sqref="B10"/>
    </sheetView>
  </sheetViews>
  <sheetFormatPr baseColWidth="10" defaultColWidth="8.6640625" defaultRowHeight="15" x14ac:dyDescent="0.2"/>
  <cols>
    <col min="1" max="1" width="50.6640625" style="14" customWidth="1"/>
    <col min="2" max="2" width="40.5" style="14" customWidth="1"/>
    <col min="3" max="3" width="39.1640625" style="14" customWidth="1"/>
    <col min="4" max="16384" width="8.6640625" style="14"/>
  </cols>
  <sheetData>
    <row r="1" spans="1:4" ht="39.75" customHeight="1" x14ac:dyDescent="0.3">
      <c r="A1" s="59" t="s">
        <v>438</v>
      </c>
      <c r="C1" s="14" t="s">
        <v>439</v>
      </c>
    </row>
    <row r="2" spans="1:4" ht="15" customHeight="1" x14ac:dyDescent="0.3">
      <c r="A2" s="59"/>
    </row>
    <row r="3" spans="1:4" ht="18.75" customHeight="1" x14ac:dyDescent="0.25">
      <c r="A3" s="479" t="s">
        <v>440</v>
      </c>
      <c r="B3" s="19"/>
      <c r="C3" s="20"/>
      <c r="D3" s="480"/>
    </row>
    <row r="4" spans="1:4" x14ac:dyDescent="0.2">
      <c r="A4" s="481" t="s">
        <v>441</v>
      </c>
      <c r="B4" s="22"/>
      <c r="C4" s="23"/>
    </row>
    <row r="5" spans="1:4" x14ac:dyDescent="0.2">
      <c r="A5" s="482" t="s">
        <v>442</v>
      </c>
      <c r="B5" s="22"/>
      <c r="C5" s="23"/>
      <c r="D5" s="480"/>
    </row>
    <row r="6" spans="1:4" x14ac:dyDescent="0.2">
      <c r="A6" s="481" t="s">
        <v>443</v>
      </c>
      <c r="B6" s="22"/>
      <c r="C6" s="23"/>
      <c r="D6" s="480"/>
    </row>
    <row r="7" spans="1:4" ht="15.75" customHeight="1" x14ac:dyDescent="0.2">
      <c r="A7" s="483"/>
      <c r="B7" s="26"/>
      <c r="C7" s="27"/>
      <c r="D7" s="480"/>
    </row>
    <row r="8" spans="1:4" ht="24.75" customHeight="1" x14ac:dyDescent="0.2">
      <c r="A8" s="421"/>
    </row>
    <row r="9" spans="1:4" ht="24.75" customHeight="1" x14ac:dyDescent="0.2">
      <c r="A9" s="96" t="s">
        <v>444</v>
      </c>
      <c r="B9" s="94" t="s">
        <v>79</v>
      </c>
      <c r="C9" s="94" t="s">
        <v>445</v>
      </c>
    </row>
    <row r="10" spans="1:4" ht="13.5" customHeight="1" x14ac:dyDescent="0.2">
      <c r="A10" s="116" t="s">
        <v>446</v>
      </c>
      <c r="B10" s="484">
        <f>E.!E39</f>
        <v>0</v>
      </c>
      <c r="C10" s="485" t="str">
        <f>IFERROR(B10/B18,"")</f>
        <v/>
      </c>
    </row>
    <row r="11" spans="1:4" ht="13.5" customHeight="1" x14ac:dyDescent="0.2">
      <c r="A11" s="116" t="s">
        <v>447</v>
      </c>
      <c r="B11" s="486">
        <f>E.!E51</f>
        <v>0</v>
      </c>
      <c r="C11" s="487" t="str">
        <f>IFERROR(B11/B18,"")</f>
        <v/>
      </c>
    </row>
    <row r="12" spans="1:4" ht="13.5" customHeight="1" x14ac:dyDescent="0.2">
      <c r="A12" s="116" t="s">
        <v>448</v>
      </c>
      <c r="B12" s="486">
        <f>E.!E57</f>
        <v>0</v>
      </c>
      <c r="C12" s="487" t="str">
        <f>IFERROR(B12/B18,"")</f>
        <v/>
      </c>
    </row>
    <row r="13" spans="1:4" ht="13.5" customHeight="1" x14ac:dyDescent="0.2">
      <c r="A13" s="116" t="s">
        <v>449</v>
      </c>
      <c r="B13" s="484">
        <f>E.!E81</f>
        <v>0</v>
      </c>
      <c r="C13" s="485" t="str">
        <f>IFERROR(B13/B18,"")</f>
        <v/>
      </c>
    </row>
    <row r="14" spans="1:4" ht="13.5" customHeight="1" x14ac:dyDescent="0.2">
      <c r="A14" s="116" t="s">
        <v>344</v>
      </c>
      <c r="B14" s="486">
        <f>E.!E76</f>
        <v>0</v>
      </c>
      <c r="C14" s="487" t="str">
        <f>IFERROR(B14/B18,"")</f>
        <v/>
      </c>
    </row>
    <row r="15" spans="1:4" ht="13.5" customHeight="1" x14ac:dyDescent="0.2">
      <c r="A15" s="116" t="s">
        <v>429</v>
      </c>
      <c r="B15" s="486">
        <f>E.!E70</f>
        <v>0</v>
      </c>
      <c r="C15" s="487" t="str">
        <f>IFERROR(B15/B18,"")</f>
        <v/>
      </c>
    </row>
    <row r="16" spans="1:4" ht="13.5" customHeight="1" x14ac:dyDescent="0.2">
      <c r="A16" s="174" t="s">
        <v>357</v>
      </c>
      <c r="B16" s="488">
        <f>E.!E85</f>
        <v>0</v>
      </c>
      <c r="C16" s="489" t="str">
        <f>IFERROR(B16/B18,"")</f>
        <v/>
      </c>
    </row>
    <row r="17" spans="1:3" ht="13.5" customHeight="1" x14ac:dyDescent="0.2">
      <c r="A17" s="116" t="s">
        <v>450</v>
      </c>
      <c r="B17" s="490">
        <f>E.!E95</f>
        <v>0</v>
      </c>
      <c r="C17" s="487" t="str">
        <f>IFERROR(B17/B18,"")</f>
        <v/>
      </c>
    </row>
    <row r="18" spans="1:3" ht="13.5" customHeight="1" x14ac:dyDescent="0.2">
      <c r="A18" s="196" t="s">
        <v>451</v>
      </c>
      <c r="B18" s="441">
        <f>E.!E96</f>
        <v>0</v>
      </c>
      <c r="C18" s="491">
        <f>SUM(C10:C17)</f>
        <v>0</v>
      </c>
    </row>
    <row r="19" spans="1:3" ht="13.5" customHeight="1" x14ac:dyDescent="0.2">
      <c r="A19" s="492" t="s">
        <v>452</v>
      </c>
      <c r="B19" s="493">
        <f>B18/1000</f>
        <v>0</v>
      </c>
    </row>
    <row r="22" spans="1:3" ht="15.75" customHeight="1" x14ac:dyDescent="0.2">
      <c r="A22" s="494" t="s">
        <v>453</v>
      </c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7"/>
  <sheetViews>
    <sheetView showGridLines="0" zoomScale="125" zoomScaleNormal="125" workbookViewId="0">
      <selection activeCell="B19" sqref="B19"/>
    </sheetView>
  </sheetViews>
  <sheetFormatPr baseColWidth="10" defaultColWidth="8.6640625" defaultRowHeight="15" x14ac:dyDescent="0.2"/>
  <cols>
    <col min="1" max="1" width="46" style="14" customWidth="1"/>
    <col min="2" max="2" width="19.5" style="14" customWidth="1"/>
    <col min="3" max="3" width="19" style="14" customWidth="1"/>
    <col min="4" max="4" width="21.6640625" style="14" customWidth="1"/>
    <col min="5" max="5" width="56.6640625" style="14" customWidth="1"/>
    <col min="6" max="16384" width="8.6640625" style="14"/>
  </cols>
  <sheetData>
    <row r="1" spans="1:5" ht="39.75" customHeight="1" x14ac:dyDescent="0.3">
      <c r="A1" s="59" t="s">
        <v>454</v>
      </c>
    </row>
    <row r="2" spans="1:5" ht="15" customHeight="1" x14ac:dyDescent="0.3">
      <c r="A2" s="59"/>
    </row>
    <row r="3" spans="1:5" ht="15" customHeight="1" x14ac:dyDescent="0.25">
      <c r="A3" s="339" t="s">
        <v>455</v>
      </c>
      <c r="B3" s="19"/>
      <c r="C3" s="19"/>
      <c r="D3" s="19"/>
      <c r="E3" s="19"/>
    </row>
    <row r="4" spans="1:5" ht="15" customHeight="1" x14ac:dyDescent="0.2">
      <c r="A4" s="495" t="s">
        <v>456</v>
      </c>
      <c r="B4" s="496"/>
      <c r="C4" s="496"/>
      <c r="D4" s="496"/>
      <c r="E4" s="22"/>
    </row>
    <row r="5" spans="1:5" ht="15" customHeight="1" x14ac:dyDescent="0.2">
      <c r="A5" s="495" t="s">
        <v>457</v>
      </c>
      <c r="B5" s="496"/>
      <c r="C5" s="496"/>
      <c r="D5" s="496"/>
      <c r="E5" s="22"/>
    </row>
    <row r="6" spans="1:5" ht="15" customHeight="1" x14ac:dyDescent="0.2">
      <c r="A6" s="495" t="s">
        <v>458</v>
      </c>
      <c r="B6" s="496"/>
      <c r="C6" s="496"/>
      <c r="D6" s="496"/>
      <c r="E6" s="22"/>
    </row>
    <row r="7" spans="1:5" ht="15" customHeight="1" x14ac:dyDescent="0.2">
      <c r="A7" s="497"/>
      <c r="B7" s="498"/>
      <c r="C7" s="498"/>
      <c r="D7" s="498"/>
      <c r="E7" s="26"/>
    </row>
    <row r="8" spans="1:5" ht="15" customHeight="1" x14ac:dyDescent="0.2">
      <c r="A8" s="499"/>
      <c r="B8" s="500"/>
      <c r="C8" s="500"/>
      <c r="D8" s="500"/>
    </row>
    <row r="9" spans="1:5" ht="15" customHeight="1" x14ac:dyDescent="0.2">
      <c r="A9" s="501"/>
      <c r="B9" s="502"/>
      <c r="C9" s="502"/>
      <c r="D9" s="502"/>
      <c r="E9" s="19"/>
    </row>
    <row r="10" spans="1:5" ht="15" customHeight="1" x14ac:dyDescent="0.2">
      <c r="A10" s="495" t="s">
        <v>459</v>
      </c>
      <c r="B10" s="22"/>
      <c r="C10" s="22"/>
      <c r="D10" s="22"/>
      <c r="E10" s="22"/>
    </row>
    <row r="11" spans="1:5" ht="15" customHeight="1" x14ac:dyDescent="0.2">
      <c r="A11" s="495" t="s">
        <v>460</v>
      </c>
      <c r="B11" s="22"/>
      <c r="C11" s="22"/>
      <c r="D11" s="22"/>
      <c r="E11" s="22"/>
    </row>
    <row r="12" spans="1:5" ht="15" customHeight="1" x14ac:dyDescent="0.2">
      <c r="A12" s="495" t="s">
        <v>461</v>
      </c>
      <c r="B12" s="22"/>
      <c r="C12" s="22"/>
      <c r="D12" s="22"/>
      <c r="E12" s="22"/>
    </row>
    <row r="13" spans="1:5" ht="15" customHeight="1" x14ac:dyDescent="0.2">
      <c r="A13" s="497"/>
      <c r="B13" s="26"/>
      <c r="C13" s="26"/>
      <c r="D13" s="26"/>
      <c r="E13" s="26"/>
    </row>
    <row r="14" spans="1:5" ht="15" customHeight="1" x14ac:dyDescent="0.2"/>
    <row r="15" spans="1:5" ht="42.75" customHeight="1" x14ac:dyDescent="0.2">
      <c r="A15" s="170" t="s">
        <v>462</v>
      </c>
      <c r="B15" s="503" t="s">
        <v>463</v>
      </c>
      <c r="C15" s="200" t="s">
        <v>464</v>
      </c>
      <c r="D15" s="170" t="s">
        <v>465</v>
      </c>
      <c r="E15" s="313" t="s">
        <v>466</v>
      </c>
    </row>
    <row r="16" spans="1:5" ht="30" customHeight="1" x14ac:dyDescent="0.2">
      <c r="A16" s="97" t="s">
        <v>467</v>
      </c>
      <c r="B16" s="130"/>
      <c r="C16" s="504">
        <f>B16</f>
        <v>0</v>
      </c>
      <c r="D16" s="505">
        <f>C16*'C.'!B25</f>
        <v>0</v>
      </c>
      <c r="E16" s="506"/>
    </row>
    <row r="17" spans="1:5" ht="30" customHeight="1" x14ac:dyDescent="0.2">
      <c r="A17" s="235"/>
      <c r="B17" s="507"/>
      <c r="C17" s="508"/>
      <c r="D17" s="509"/>
      <c r="E17" s="510"/>
    </row>
    <row r="18" spans="1:5" ht="42.75" customHeight="1" x14ac:dyDescent="0.2">
      <c r="A18" s="511" t="s">
        <v>468</v>
      </c>
      <c r="B18" s="512" t="s">
        <v>463</v>
      </c>
      <c r="C18" s="513" t="s">
        <v>464</v>
      </c>
      <c r="D18" s="511" t="s">
        <v>465</v>
      </c>
      <c r="E18" s="313" t="s">
        <v>466</v>
      </c>
    </row>
    <row r="19" spans="1:5" ht="30" customHeight="1" x14ac:dyDescent="0.2">
      <c r="A19" s="97" t="s">
        <v>469</v>
      </c>
      <c r="B19" s="130"/>
      <c r="C19" s="504">
        <f>B19</f>
        <v>0</v>
      </c>
      <c r="D19" s="505">
        <f>C19*'C.'!B40</f>
        <v>0</v>
      </c>
      <c r="E19" s="506"/>
    </row>
    <row r="20" spans="1:5" x14ac:dyDescent="0.2">
      <c r="A20" s="246"/>
      <c r="B20" s="125"/>
      <c r="C20" s="125"/>
    </row>
    <row r="21" spans="1:5" x14ac:dyDescent="0.2">
      <c r="A21" s="514"/>
      <c r="B21" s="154"/>
      <c r="C21" s="154"/>
      <c r="D21" s="19"/>
      <c r="E21" s="19"/>
    </row>
    <row r="22" spans="1:5" ht="15.75" customHeight="1" x14ac:dyDescent="0.2">
      <c r="A22" s="495" t="s">
        <v>470</v>
      </c>
      <c r="B22" s="22"/>
      <c r="C22" s="344"/>
      <c r="D22" s="345"/>
      <c r="E22" s="22"/>
    </row>
    <row r="23" spans="1:5" ht="15.75" customHeight="1" x14ac:dyDescent="0.2">
      <c r="A23" s="24" t="s">
        <v>471</v>
      </c>
      <c r="B23" s="22"/>
      <c r="C23" s="344"/>
      <c r="D23" s="345"/>
      <c r="E23" s="22"/>
    </row>
    <row r="24" spans="1:5" ht="15.75" customHeight="1" x14ac:dyDescent="0.2">
      <c r="A24" s="25"/>
      <c r="B24" s="26"/>
      <c r="C24" s="350"/>
      <c r="D24" s="351"/>
      <c r="E24" s="26"/>
    </row>
    <row r="25" spans="1:5" ht="15.75" customHeight="1" x14ac:dyDescent="0.2">
      <c r="C25" s="337"/>
      <c r="D25" s="338"/>
      <c r="E25" s="337"/>
    </row>
    <row r="26" spans="1:5" ht="31.5" customHeight="1" x14ac:dyDescent="0.2">
      <c r="A26" s="511" t="s">
        <v>472</v>
      </c>
      <c r="B26" s="511" t="s">
        <v>473</v>
      </c>
      <c r="C26" s="511" t="s">
        <v>474</v>
      </c>
      <c r="D26" s="511" t="s">
        <v>475</v>
      </c>
      <c r="E26" s="313" t="s">
        <v>476</v>
      </c>
    </row>
    <row r="27" spans="1:5" ht="30" customHeight="1" x14ac:dyDescent="0.2">
      <c r="A27" s="97" t="s">
        <v>477</v>
      </c>
      <c r="B27" s="515"/>
      <c r="C27" s="429">
        <f>B27</f>
        <v>0</v>
      </c>
      <c r="D27" s="415">
        <f>C27*E.!C81</f>
        <v>0</v>
      </c>
      <c r="E27" s="123"/>
    </row>
  </sheetData>
  <pageMargins left="0.7" right="0.7" top="0.75" bottom="0.75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G61"/>
  <sheetViews>
    <sheetView showGridLines="0" zoomScale="80" zoomScaleNormal="80" workbookViewId="0">
      <selection activeCell="A3" sqref="A3"/>
    </sheetView>
  </sheetViews>
  <sheetFormatPr baseColWidth="10" defaultColWidth="8.6640625" defaultRowHeight="15" x14ac:dyDescent="0.2"/>
  <cols>
    <col min="1" max="1" width="82" style="14" customWidth="1"/>
    <col min="2" max="2" width="30.1640625" style="14" customWidth="1"/>
    <col min="3" max="3" width="12.1640625" style="14" customWidth="1"/>
    <col min="4" max="5" width="19.5" style="14" customWidth="1"/>
    <col min="6" max="6" width="31.6640625" style="14" customWidth="1"/>
    <col min="7" max="7" width="47.5" style="14" customWidth="1"/>
    <col min="8" max="9" width="8.6640625" style="14"/>
    <col min="10" max="10" width="37" style="14" customWidth="1"/>
    <col min="11" max="11" width="23" style="14" customWidth="1"/>
    <col min="12" max="16384" width="8.6640625" style="14"/>
  </cols>
  <sheetData>
    <row r="1" spans="1:85" s="516" customFormat="1" ht="39.75" customHeight="1" x14ac:dyDescent="0.25">
      <c r="A1" s="354" t="s">
        <v>478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</row>
    <row r="2" spans="1:85" s="516" customFormat="1" ht="90" customHeight="1" x14ac:dyDescent="0.25">
      <c r="A2" s="604" t="s">
        <v>705</v>
      </c>
      <c r="B2" s="603"/>
      <c r="C2" s="603"/>
      <c r="D2" s="60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</row>
    <row r="3" spans="1:85" s="516" customFormat="1" ht="21" customHeight="1" x14ac:dyDescent="0.25">
      <c r="A3"/>
      <c r="B3"/>
      <c r="C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</row>
    <row r="4" spans="1:85" s="337" customFormat="1" ht="15.75" customHeight="1" x14ac:dyDescent="0.2">
      <c r="A4" s="495" t="s">
        <v>479</v>
      </c>
      <c r="B4" s="347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</row>
    <row r="5" spans="1:85" s="337" customFormat="1" ht="15.75" customHeight="1" x14ac:dyDescent="0.2">
      <c r="A5" s="495" t="s">
        <v>480</v>
      </c>
      <c r="B5" s="517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</row>
    <row r="6" spans="1:85" s="337" customFormat="1" ht="15.75" customHeight="1" x14ac:dyDescent="0.2">
      <c r="A6" s="518"/>
      <c r="B6" s="519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</row>
    <row r="7" spans="1:85" s="337" customFormat="1" ht="15" customHeight="1" x14ac:dyDescent="0.2"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</row>
    <row r="8" spans="1:85" s="337" customFormat="1" ht="24.75" customHeight="1" x14ac:dyDescent="0.2">
      <c r="A8" s="520" t="s">
        <v>481</v>
      </c>
      <c r="B8" s="521" t="s">
        <v>482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</row>
    <row r="9" spans="1:85" s="337" customFormat="1" ht="15.75" customHeight="1" x14ac:dyDescent="0.2">
      <c r="A9" s="116" t="s">
        <v>483</v>
      </c>
      <c r="B9" s="522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</row>
    <row r="10" spans="1:85" s="337" customFormat="1" ht="15.75" customHeight="1" x14ac:dyDescent="0.2">
      <c r="A10" s="97" t="s">
        <v>484</v>
      </c>
      <c r="B10" s="130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</row>
    <row r="11" spans="1:85" s="337" customFormat="1" ht="15.75" customHeight="1" x14ac:dyDescent="0.2">
      <c r="A11" s="97" t="s">
        <v>485</v>
      </c>
      <c r="B11" s="132">
        <f>B9-B10</f>
        <v>0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</row>
    <row r="12" spans="1:85" s="337" customFormat="1" ht="15.75" customHeight="1" x14ac:dyDescent="0.2">
      <c r="A12" s="97" t="s">
        <v>486</v>
      </c>
      <c r="B12" s="130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</row>
    <row r="13" spans="1:85" s="337" customFormat="1" ht="15.75" customHeight="1" x14ac:dyDescent="0.2">
      <c r="A13" s="523" t="s">
        <v>487</v>
      </c>
      <c r="B13" s="524" t="str">
        <f>IFERROR((B12/B11)*100,"")</f>
        <v/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</row>
    <row r="14" spans="1:85" s="337" customFormat="1" ht="15.75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</row>
    <row r="15" spans="1:85" s="337" customFormat="1" ht="24.75" customHeight="1" x14ac:dyDescent="0.2">
      <c r="A15" s="520" t="s">
        <v>488</v>
      </c>
      <c r="B15" s="521" t="s">
        <v>482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85" s="337" customFormat="1" ht="15.75" customHeight="1" x14ac:dyDescent="0.2">
      <c r="A16" s="116" t="s">
        <v>483</v>
      </c>
      <c r="B16" s="5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s="337" customFormat="1" ht="15.75" customHeight="1" x14ac:dyDescent="0.2">
      <c r="A17" s="97" t="s">
        <v>484</v>
      </c>
      <c r="B17" s="13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s="337" customFormat="1" ht="15.75" customHeight="1" x14ac:dyDescent="0.2">
      <c r="A18" s="97" t="s">
        <v>489</v>
      </c>
      <c r="B18" s="132">
        <f>B16-B17</f>
        <v>0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s="337" customFormat="1" ht="15.75" customHeight="1" x14ac:dyDescent="0.2">
      <c r="A19" s="97" t="s">
        <v>490</v>
      </c>
      <c r="B19" s="130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s="337" customFormat="1" ht="15.75" customHeight="1" x14ac:dyDescent="0.2">
      <c r="A20" s="523" t="s">
        <v>491</v>
      </c>
      <c r="B20" s="524" t="str">
        <f>IFERROR((B19/B18)*100,"")</f>
        <v/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s="337" customFormat="1" ht="15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s="337" customFormat="1" ht="24.75" customHeight="1" x14ac:dyDescent="0.2">
      <c r="A22" s="520" t="s">
        <v>492</v>
      </c>
      <c r="B22" s="521" t="s">
        <v>482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s="337" customFormat="1" ht="15.75" customHeight="1" x14ac:dyDescent="0.2">
      <c r="A23" s="116" t="s">
        <v>483</v>
      </c>
      <c r="B23" s="5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s="337" customFormat="1" ht="15.75" customHeight="1" x14ac:dyDescent="0.2">
      <c r="A24" s="97" t="s">
        <v>484</v>
      </c>
      <c r="B24" s="130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s="337" customFormat="1" ht="15.75" customHeight="1" x14ac:dyDescent="0.2">
      <c r="A25" s="97" t="s">
        <v>493</v>
      </c>
      <c r="B25" s="132">
        <f>B23-B24</f>
        <v>0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s="337" customFormat="1" ht="15.75" customHeight="1" x14ac:dyDescent="0.2">
      <c r="A26" s="97" t="s">
        <v>494</v>
      </c>
      <c r="B26" s="13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s="337" customFormat="1" ht="15.75" customHeight="1" x14ac:dyDescent="0.2">
      <c r="A27" s="523" t="s">
        <v>495</v>
      </c>
      <c r="B27" s="524" t="str">
        <f>IFERROR((B26/B25)*100,"")</f>
        <v/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s="337" customFormat="1" ht="15.75" customHeight="1" x14ac:dyDescent="0.2">
      <c r="A28" s="331"/>
      <c r="B28" s="525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s="337" customFormat="1" ht="15.75" customHeight="1" x14ac:dyDescent="0.2">
      <c r="A29" s="601" t="s">
        <v>496</v>
      </c>
      <c r="B29" s="601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s="337" customFormat="1" ht="15.75" customHeight="1" x14ac:dyDescent="0.2">
      <c r="A30" s="601"/>
      <c r="B30" s="601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s="337" customFormat="1" ht="15.75" customHeight="1" x14ac:dyDescent="0.2">
      <c r="A31" s="28"/>
      <c r="B31" s="28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s="337" customFormat="1" ht="24.75" customHeight="1" x14ac:dyDescent="0.2">
      <c r="A32" s="520" t="s">
        <v>497</v>
      </c>
      <c r="B32" s="521" t="s">
        <v>482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s="337" customFormat="1" ht="15.75" customHeight="1" x14ac:dyDescent="0.2">
      <c r="A33" s="116" t="s">
        <v>481</v>
      </c>
      <c r="B33" s="526">
        <f>B9</f>
        <v>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s="337" customFormat="1" ht="15.75" customHeight="1" x14ac:dyDescent="0.2">
      <c r="A34" s="527" t="s">
        <v>498</v>
      </c>
      <c r="B34" s="528">
        <f>B16</f>
        <v>0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</row>
    <row r="35" spans="1:85" s="337" customFormat="1" ht="15.75" customHeight="1" x14ac:dyDescent="0.2">
      <c r="A35" s="317" t="s">
        <v>499</v>
      </c>
      <c r="B35" s="528">
        <f>B23</f>
        <v>0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85" s="337" customFormat="1" ht="15.75" customHeight="1" x14ac:dyDescent="0.2">
      <c r="A36" s="97" t="s">
        <v>500</v>
      </c>
      <c r="B36" s="132">
        <f>B33+B34+B35</f>
        <v>0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85" s="337" customFormat="1" ht="15.75" customHeight="1" x14ac:dyDescent="0.2">
      <c r="A37" s="97" t="s">
        <v>484</v>
      </c>
      <c r="B37" s="132">
        <f>B10+B17+B24</f>
        <v>0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85" s="337" customFormat="1" ht="15.75" customHeight="1" x14ac:dyDescent="0.2">
      <c r="A38" s="97" t="s">
        <v>501</v>
      </c>
      <c r="B38" s="132">
        <f>B36-B37</f>
        <v>0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85" s="337" customFormat="1" ht="15.75" customHeight="1" x14ac:dyDescent="0.2">
      <c r="A39" s="97" t="s">
        <v>502</v>
      </c>
      <c r="B39" s="130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85" s="337" customFormat="1" ht="15.75" customHeight="1" x14ac:dyDescent="0.2">
      <c r="A40" s="523" t="s">
        <v>503</v>
      </c>
      <c r="B40" s="524" t="str">
        <f>IFERROR((B39/B38)*100,"")</f>
        <v/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3" spans="1:85" ht="16" x14ac:dyDescent="0.2">
      <c r="A43" s="160" t="s">
        <v>110</v>
      </c>
      <c r="B43" s="160" t="s">
        <v>504</v>
      </c>
    </row>
    <row r="44" spans="1:85" x14ac:dyDescent="0.2">
      <c r="A44" s="191" t="s">
        <v>505</v>
      </c>
    </row>
    <row r="45" spans="1:85" x14ac:dyDescent="0.2">
      <c r="A45" s="163" t="s">
        <v>506</v>
      </c>
      <c r="B45" s="164"/>
      <c r="C45" s="14" t="s">
        <v>476</v>
      </c>
    </row>
    <row r="46" spans="1:85" x14ac:dyDescent="0.2">
      <c r="A46" s="163" t="s">
        <v>507</v>
      </c>
      <c r="B46" s="164"/>
      <c r="C46" s="14" t="s">
        <v>476</v>
      </c>
    </row>
    <row r="47" spans="1:85" x14ac:dyDescent="0.2">
      <c r="A47" s="163" t="s">
        <v>508</v>
      </c>
      <c r="B47" s="529">
        <f>B45-B46</f>
        <v>0</v>
      </c>
    </row>
    <row r="48" spans="1:85" x14ac:dyDescent="0.2">
      <c r="A48" s="163" t="s">
        <v>509</v>
      </c>
      <c r="B48" s="164"/>
      <c r="C48" s="14" t="s">
        <v>476</v>
      </c>
    </row>
    <row r="49" spans="1:3" x14ac:dyDescent="0.2">
      <c r="A49" s="163" t="s">
        <v>510</v>
      </c>
      <c r="B49" s="164"/>
      <c r="C49" s="14" t="s">
        <v>476</v>
      </c>
    </row>
    <row r="50" spans="1:3" x14ac:dyDescent="0.2">
      <c r="A50" s="163" t="s">
        <v>511</v>
      </c>
      <c r="B50" s="529" t="str">
        <f>IFERROR((B48/B47)*100,"")</f>
        <v/>
      </c>
    </row>
    <row r="51" spans="1:3" x14ac:dyDescent="0.2">
      <c r="A51" s="163" t="s">
        <v>512</v>
      </c>
      <c r="B51" s="529" t="str">
        <f>IFERROR(100-B50,"")</f>
        <v/>
      </c>
    </row>
    <row r="53" spans="1:3" ht="16" x14ac:dyDescent="0.2">
      <c r="A53" s="160" t="s">
        <v>513</v>
      </c>
      <c r="B53" s="160" t="s">
        <v>514</v>
      </c>
    </row>
    <row r="54" spans="1:3" x14ac:dyDescent="0.2">
      <c r="A54" s="163" t="s">
        <v>515</v>
      </c>
      <c r="B54" s="164"/>
      <c r="C54" s="14" t="s">
        <v>476</v>
      </c>
    </row>
    <row r="55" spans="1:3" x14ac:dyDescent="0.2">
      <c r="A55" s="163" t="s">
        <v>507</v>
      </c>
      <c r="B55" s="164"/>
      <c r="C55" s="14" t="s">
        <v>476</v>
      </c>
    </row>
    <row r="56" spans="1:3" x14ac:dyDescent="0.2">
      <c r="A56" s="163" t="s">
        <v>516</v>
      </c>
      <c r="B56" s="529">
        <f>B54-B55</f>
        <v>0</v>
      </c>
    </row>
    <row r="57" spans="1:3" x14ac:dyDescent="0.2">
      <c r="A57" s="163" t="s">
        <v>517</v>
      </c>
      <c r="B57" s="164"/>
      <c r="C57" s="14" t="s">
        <v>476</v>
      </c>
    </row>
    <row r="58" spans="1:3" x14ac:dyDescent="0.2">
      <c r="A58" s="163" t="s">
        <v>518</v>
      </c>
      <c r="B58" s="529" t="str">
        <f>IFERROR((B57/B56)*100,"")</f>
        <v/>
      </c>
    </row>
    <row r="59" spans="1:3" x14ac:dyDescent="0.2">
      <c r="A59" s="163" t="s">
        <v>519</v>
      </c>
      <c r="B59" s="529" t="str">
        <f>IFERROR(100-B58,"")</f>
        <v/>
      </c>
    </row>
    <row r="61" spans="1:3" x14ac:dyDescent="0.2">
      <c r="A61" s="191" t="s">
        <v>520</v>
      </c>
    </row>
  </sheetData>
  <mergeCells count="2">
    <mergeCell ref="A29:B30"/>
    <mergeCell ref="A2:D2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showGridLines="0" zoomScale="80" zoomScaleNormal="80" workbookViewId="0">
      <selection activeCell="A23" sqref="A23"/>
    </sheetView>
  </sheetViews>
  <sheetFormatPr baseColWidth="10" defaultColWidth="8.6640625" defaultRowHeight="15" x14ac:dyDescent="0.2"/>
  <cols>
    <col min="1" max="1" width="26.6640625" style="14" customWidth="1"/>
    <col min="2" max="3" width="25.6640625" style="14" customWidth="1"/>
    <col min="4" max="4" width="15.6640625" style="14" customWidth="1"/>
    <col min="5" max="5" width="15.5" style="14" customWidth="1"/>
    <col min="6" max="6" width="14.1640625" style="14" customWidth="1"/>
    <col min="7" max="16384" width="8.6640625" style="14"/>
  </cols>
  <sheetData>
    <row r="1" spans="1:6" ht="39.75" customHeight="1" x14ac:dyDescent="0.3">
      <c r="A1" s="59" t="s">
        <v>521</v>
      </c>
      <c r="B1" s="338"/>
      <c r="D1" s="530"/>
      <c r="E1" s="337"/>
      <c r="F1" s="337"/>
    </row>
    <row r="2" spans="1:6" ht="15" customHeight="1" x14ac:dyDescent="0.3">
      <c r="A2" s="59"/>
      <c r="B2" s="338"/>
      <c r="D2" s="530"/>
      <c r="E2" s="337"/>
      <c r="F2" s="337"/>
    </row>
    <row r="3" spans="1:6" ht="15.75" customHeight="1" x14ac:dyDescent="0.2">
      <c r="A3" s="531"/>
      <c r="B3" s="532"/>
      <c r="C3" s="19"/>
      <c r="D3" s="340"/>
      <c r="E3" s="340"/>
      <c r="F3" s="342"/>
    </row>
    <row r="4" spans="1:6" x14ac:dyDescent="0.2">
      <c r="A4" s="24" t="s">
        <v>522</v>
      </c>
      <c r="B4" s="533"/>
      <c r="C4" s="533"/>
      <c r="D4" s="22"/>
      <c r="E4" s="22"/>
      <c r="F4" s="23"/>
    </row>
    <row r="5" spans="1:6" x14ac:dyDescent="0.2">
      <c r="A5" s="24" t="s">
        <v>523</v>
      </c>
      <c r="B5" s="533"/>
      <c r="C5" s="533"/>
      <c r="D5" s="22"/>
      <c r="E5" s="534"/>
      <c r="F5" s="23"/>
    </row>
    <row r="6" spans="1:6" ht="15.75" customHeight="1" x14ac:dyDescent="0.2">
      <c r="A6" s="67"/>
      <c r="B6" s="535"/>
      <c r="C6" s="535"/>
      <c r="D6" s="26"/>
      <c r="E6" s="536"/>
      <c r="F6" s="27"/>
    </row>
    <row r="8" spans="1:6" ht="45" customHeight="1" x14ac:dyDescent="0.2">
      <c r="A8" s="94" t="s">
        <v>524</v>
      </c>
      <c r="B8" s="537" t="s">
        <v>525</v>
      </c>
      <c r="C8" s="538" t="s">
        <v>526</v>
      </c>
    </row>
    <row r="9" spans="1:6" ht="31.5" customHeight="1" x14ac:dyDescent="0.2">
      <c r="A9" s="539" t="s">
        <v>527</v>
      </c>
      <c r="B9" s="94" t="s">
        <v>528</v>
      </c>
      <c r="C9" s="170" t="s">
        <v>529</v>
      </c>
      <c r="D9" s="94" t="s">
        <v>165</v>
      </c>
      <c r="E9" s="170" t="s">
        <v>530</v>
      </c>
      <c r="F9" s="170" t="s">
        <v>531</v>
      </c>
    </row>
    <row r="10" spans="1:6" x14ac:dyDescent="0.2">
      <c r="A10" s="540" t="s">
        <v>532</v>
      </c>
      <c r="B10" s="141"/>
      <c r="C10" s="141"/>
      <c r="D10" s="515"/>
      <c r="E10" s="367">
        <f t="shared" ref="E10:E20" si="0">(D10*C10)/1000</f>
        <v>0</v>
      </c>
      <c r="F10" s="367">
        <f t="shared" ref="F10:F20" si="1">(B10*D10)/1000</f>
        <v>0</v>
      </c>
    </row>
    <row r="11" spans="1:6" x14ac:dyDescent="0.2">
      <c r="A11" s="540" t="s">
        <v>533</v>
      </c>
      <c r="B11" s="141"/>
      <c r="C11" s="141"/>
      <c r="D11" s="541"/>
      <c r="E11" s="367">
        <f t="shared" si="0"/>
        <v>0</v>
      </c>
      <c r="F11" s="367">
        <f t="shared" si="1"/>
        <v>0</v>
      </c>
    </row>
    <row r="12" spans="1:6" x14ac:dyDescent="0.2">
      <c r="A12" s="540" t="s">
        <v>534</v>
      </c>
      <c r="B12" s="141"/>
      <c r="C12" s="141"/>
      <c r="D12" s="515"/>
      <c r="E12" s="367">
        <f t="shared" si="0"/>
        <v>0</v>
      </c>
      <c r="F12" s="367">
        <f t="shared" si="1"/>
        <v>0</v>
      </c>
    </row>
    <row r="13" spans="1:6" ht="31.5" customHeight="1" x14ac:dyDescent="0.2">
      <c r="A13" s="542" t="s">
        <v>535</v>
      </c>
      <c r="B13" s="141"/>
      <c r="C13" s="141"/>
      <c r="D13" s="515"/>
      <c r="E13" s="367">
        <f t="shared" si="0"/>
        <v>0</v>
      </c>
      <c r="F13" s="367">
        <f t="shared" si="1"/>
        <v>0</v>
      </c>
    </row>
    <row r="14" spans="1:6" x14ac:dyDescent="0.2">
      <c r="A14" s="542"/>
      <c r="B14" s="141"/>
      <c r="C14" s="141"/>
      <c r="D14" s="515"/>
      <c r="E14" s="367">
        <f t="shared" si="0"/>
        <v>0</v>
      </c>
      <c r="F14" s="367">
        <f t="shared" si="1"/>
        <v>0</v>
      </c>
    </row>
    <row r="15" spans="1:6" x14ac:dyDescent="0.2">
      <c r="A15" s="542"/>
      <c r="B15" s="141"/>
      <c r="C15" s="141"/>
      <c r="D15" s="515"/>
      <c r="E15" s="367">
        <f t="shared" si="0"/>
        <v>0</v>
      </c>
      <c r="F15" s="367">
        <f t="shared" si="1"/>
        <v>0</v>
      </c>
    </row>
    <row r="16" spans="1:6" x14ac:dyDescent="0.2">
      <c r="A16" s="542"/>
      <c r="B16" s="141"/>
      <c r="C16" s="141"/>
      <c r="D16" s="515"/>
      <c r="E16" s="367">
        <f t="shared" si="0"/>
        <v>0</v>
      </c>
      <c r="F16" s="367">
        <f t="shared" si="1"/>
        <v>0</v>
      </c>
    </row>
    <row r="17" spans="1:9" x14ac:dyDescent="0.2">
      <c r="A17" s="542"/>
      <c r="B17" s="141"/>
      <c r="C17" s="141"/>
      <c r="D17" s="515"/>
      <c r="E17" s="367">
        <f t="shared" si="0"/>
        <v>0</v>
      </c>
      <c r="F17" s="367">
        <f t="shared" si="1"/>
        <v>0</v>
      </c>
    </row>
    <row r="18" spans="1:9" x14ac:dyDescent="0.2">
      <c r="A18" s="542"/>
      <c r="B18" s="141"/>
      <c r="C18" s="141"/>
      <c r="D18" s="515"/>
      <c r="E18" s="367">
        <f t="shared" si="0"/>
        <v>0</v>
      </c>
      <c r="F18" s="367">
        <f t="shared" si="1"/>
        <v>0</v>
      </c>
    </row>
    <row r="19" spans="1:9" x14ac:dyDescent="0.2">
      <c r="A19" s="542"/>
      <c r="B19" s="141"/>
      <c r="C19" s="141"/>
      <c r="D19" s="515"/>
      <c r="E19" s="367">
        <f t="shared" si="0"/>
        <v>0</v>
      </c>
      <c r="F19" s="367">
        <f t="shared" si="1"/>
        <v>0</v>
      </c>
    </row>
    <row r="20" spans="1:9" x14ac:dyDescent="0.2">
      <c r="A20" s="542"/>
      <c r="B20" s="141"/>
      <c r="C20" s="141"/>
      <c r="D20" s="515"/>
      <c r="E20" s="367">
        <f t="shared" si="0"/>
        <v>0</v>
      </c>
      <c r="F20" s="367">
        <f t="shared" si="1"/>
        <v>0</v>
      </c>
    </row>
    <row r="21" spans="1:9" x14ac:dyDescent="0.2">
      <c r="A21" s="602" t="s">
        <v>226</v>
      </c>
      <c r="B21" s="602"/>
      <c r="C21" s="602"/>
      <c r="D21" s="602"/>
      <c r="E21" s="543">
        <f>SUM(E10:E20)</f>
        <v>0</v>
      </c>
      <c r="F21" s="544">
        <f>SUM(F10:F20)</f>
        <v>0</v>
      </c>
    </row>
    <row r="22" spans="1:9" x14ac:dyDescent="0.2">
      <c r="D22" s="545"/>
      <c r="G22" s="546"/>
      <c r="H22" s="546"/>
    </row>
    <row r="23" spans="1:9" ht="27" customHeight="1" x14ac:dyDescent="0.2">
      <c r="A23" s="191" t="s">
        <v>536</v>
      </c>
      <c r="G23" s="235"/>
      <c r="H23" s="547"/>
      <c r="I23" s="547"/>
    </row>
  </sheetData>
  <sheetProtection algorithmName="SHA-512" hashValue="n+ZLPvP11bpYs7elJ1PHHmOWgOJ22FjDCUD3+UhRcdS0xmdQKioJ5ZS44b1dM7JtG0X8sULtGKlCmiGiWvtzyw==" saltValue="tZ4ODpzcO01Xi5JDOQvWPA==" spinCount="100000" sheet="1" formatCells="0"/>
  <mergeCells count="1">
    <mergeCell ref="A21:D21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0"/>
  <sheetViews>
    <sheetView showGridLines="0" topLeftCell="A29" zoomScale="70" zoomScaleNormal="70" workbookViewId="0">
      <selection activeCell="B21" sqref="B21"/>
    </sheetView>
  </sheetViews>
  <sheetFormatPr baseColWidth="10" defaultColWidth="8.6640625" defaultRowHeight="15" x14ac:dyDescent="0.2"/>
  <cols>
    <col min="1" max="1" width="40.6640625" style="14" customWidth="1"/>
    <col min="2" max="2" width="20.6640625" style="14" customWidth="1"/>
    <col min="3" max="3" width="46" style="14" customWidth="1"/>
    <col min="4" max="4" width="19.5" style="14" customWidth="1"/>
    <col min="5" max="5" width="31.6640625" style="14" customWidth="1"/>
    <col min="6" max="6" width="47.5" style="14" customWidth="1"/>
    <col min="7" max="8" width="8.6640625" style="14"/>
    <col min="9" max="9" width="37" style="14" customWidth="1"/>
    <col min="10" max="10" width="23" style="14" customWidth="1"/>
    <col min="11" max="16384" width="8.6640625" style="14"/>
  </cols>
  <sheetData>
    <row r="1" spans="1:3" ht="39.75" customHeight="1" x14ac:dyDescent="0.3">
      <c r="A1" s="59" t="s">
        <v>537</v>
      </c>
      <c r="C1" s="548"/>
    </row>
    <row r="2" spans="1:3" ht="15" customHeight="1" x14ac:dyDescent="0.3">
      <c r="A2" s="59"/>
      <c r="C2" s="548"/>
    </row>
    <row r="3" spans="1:3" ht="15" customHeight="1" x14ac:dyDescent="0.25">
      <c r="A3" s="153"/>
      <c r="B3" s="19"/>
      <c r="C3" s="549"/>
    </row>
    <row r="4" spans="1:3" ht="15" customHeight="1" x14ac:dyDescent="0.25">
      <c r="A4" s="24" t="s">
        <v>538</v>
      </c>
      <c r="B4" s="22"/>
      <c r="C4" s="550"/>
    </row>
    <row r="5" spans="1:3" ht="15" customHeight="1" x14ac:dyDescent="0.25">
      <c r="A5" s="24" t="s">
        <v>539</v>
      </c>
      <c r="B5" s="22"/>
      <c r="C5" s="550"/>
    </row>
    <row r="6" spans="1:3" ht="15" customHeight="1" x14ac:dyDescent="0.25">
      <c r="A6" s="24" t="s">
        <v>540</v>
      </c>
      <c r="B6" s="22"/>
      <c r="C6" s="550"/>
    </row>
    <row r="7" spans="1:3" ht="15" customHeight="1" x14ac:dyDescent="0.25">
      <c r="A7" s="24" t="s">
        <v>541</v>
      </c>
      <c r="B7" s="22"/>
      <c r="C7" s="550"/>
    </row>
    <row r="8" spans="1:3" ht="15" customHeight="1" x14ac:dyDescent="0.25">
      <c r="A8" s="67"/>
      <c r="B8" s="26"/>
      <c r="C8" s="551"/>
    </row>
    <row r="9" spans="1:3" ht="15" customHeight="1" x14ac:dyDescent="0.2">
      <c r="A9" s="552"/>
      <c r="B9" s="552"/>
      <c r="C9" s="552"/>
    </row>
    <row r="10" spans="1:3" ht="24.75" customHeight="1" x14ac:dyDescent="0.2">
      <c r="A10" s="470" t="s">
        <v>542</v>
      </c>
      <c r="B10" s="170" t="s">
        <v>482</v>
      </c>
      <c r="C10" s="553" t="s">
        <v>543</v>
      </c>
    </row>
    <row r="11" spans="1:3" ht="15.75" customHeight="1" x14ac:dyDescent="0.2">
      <c r="A11" s="317" t="s">
        <v>544</v>
      </c>
      <c r="B11" s="130"/>
      <c r="C11" s="554"/>
    </row>
    <row r="12" spans="1:3" ht="15.75" customHeight="1" x14ac:dyDescent="0.2">
      <c r="A12" s="317" t="s">
        <v>545</v>
      </c>
      <c r="B12" s="130"/>
      <c r="C12" s="123"/>
    </row>
    <row r="13" spans="1:3" ht="15.75" customHeight="1" x14ac:dyDescent="0.2">
      <c r="A13" s="317" t="s">
        <v>546</v>
      </c>
      <c r="B13" s="130"/>
      <c r="C13" s="175"/>
    </row>
    <row r="14" spans="1:3" ht="15.75" customHeight="1" x14ac:dyDescent="0.2">
      <c r="A14" s="317" t="s">
        <v>547</v>
      </c>
      <c r="B14" s="130"/>
      <c r="C14" s="175"/>
    </row>
    <row r="15" spans="1:3" ht="15.75" customHeight="1" x14ac:dyDescent="0.2">
      <c r="A15" s="387" t="s">
        <v>548</v>
      </c>
      <c r="B15" s="130"/>
      <c r="C15" s="380"/>
    </row>
    <row r="16" spans="1:3" ht="15.75" customHeight="1" x14ac:dyDescent="0.2">
      <c r="A16" s="97" t="s">
        <v>549</v>
      </c>
      <c r="B16" s="130"/>
      <c r="C16" s="123"/>
    </row>
    <row r="17" spans="1:3" ht="15.75" customHeight="1" x14ac:dyDescent="0.2">
      <c r="A17" s="317" t="s">
        <v>133</v>
      </c>
      <c r="B17" s="130"/>
      <c r="C17" s="123"/>
    </row>
    <row r="18" spans="1:3" ht="15.75" customHeight="1" x14ac:dyDescent="0.2">
      <c r="A18" s="97" t="s">
        <v>321</v>
      </c>
      <c r="B18" s="130"/>
      <c r="C18" s="123"/>
    </row>
    <row r="19" spans="1:3" ht="15.75" customHeight="1" x14ac:dyDescent="0.2">
      <c r="A19" s="97" t="s">
        <v>339</v>
      </c>
      <c r="B19" s="130"/>
      <c r="C19" s="123"/>
    </row>
    <row r="20" spans="1:3" ht="15.75" customHeight="1" x14ac:dyDescent="0.2">
      <c r="A20" s="317" t="s">
        <v>338</v>
      </c>
      <c r="B20" s="130"/>
      <c r="C20" s="175"/>
    </row>
    <row r="21" spans="1:3" x14ac:dyDescent="0.2">
      <c r="A21" s="555" t="s">
        <v>550</v>
      </c>
      <c r="B21" s="130"/>
      <c r="C21" s="123"/>
    </row>
    <row r="22" spans="1:3" ht="15.75" customHeight="1" x14ac:dyDescent="0.2">
      <c r="A22" s="556" t="s">
        <v>551</v>
      </c>
      <c r="B22" s="557">
        <f>SUM(B11:B21)</f>
        <v>0</v>
      </c>
      <c r="C22" s="558"/>
    </row>
    <row r="23" spans="1:3" ht="24.75" customHeight="1" x14ac:dyDescent="0.2">
      <c r="A23" s="129" t="s">
        <v>552</v>
      </c>
      <c r="B23" s="170" t="s">
        <v>482</v>
      </c>
      <c r="C23" s="396"/>
    </row>
    <row r="24" spans="1:3" ht="15.75" customHeight="1" x14ac:dyDescent="0.2">
      <c r="A24" s="527" t="s">
        <v>553</v>
      </c>
      <c r="B24" s="559"/>
      <c r="C24" s="554"/>
    </row>
    <row r="25" spans="1:3" ht="15.75" customHeight="1" x14ac:dyDescent="0.2">
      <c r="A25" s="97" t="s">
        <v>554</v>
      </c>
      <c r="B25" s="130"/>
      <c r="C25" s="123"/>
    </row>
    <row r="26" spans="1:3" x14ac:dyDescent="0.2">
      <c r="A26" s="447" t="s">
        <v>555</v>
      </c>
      <c r="B26" s="130"/>
      <c r="C26" s="123"/>
    </row>
    <row r="27" spans="1:3" ht="15.75" customHeight="1" x14ac:dyDescent="0.2">
      <c r="A27" s="97" t="s">
        <v>556</v>
      </c>
      <c r="B27" s="130"/>
      <c r="C27" s="123"/>
    </row>
    <row r="28" spans="1:3" ht="15.75" customHeight="1" x14ac:dyDescent="0.2">
      <c r="A28" s="97" t="s">
        <v>557</v>
      </c>
      <c r="B28" s="130"/>
      <c r="C28" s="123"/>
    </row>
    <row r="29" spans="1:3" x14ac:dyDescent="0.2">
      <c r="A29" s="447" t="s">
        <v>558</v>
      </c>
      <c r="B29" s="130"/>
      <c r="C29" s="123"/>
    </row>
    <row r="30" spans="1:3" ht="15.75" customHeight="1" x14ac:dyDescent="0.2">
      <c r="A30" s="97" t="s">
        <v>559</v>
      </c>
      <c r="B30" s="130"/>
      <c r="C30" s="123"/>
    </row>
    <row r="31" spans="1:3" ht="15.75" customHeight="1" x14ac:dyDescent="0.2">
      <c r="A31" s="97" t="s">
        <v>560</v>
      </c>
      <c r="B31" s="130"/>
      <c r="C31" s="123"/>
    </row>
    <row r="32" spans="1:3" ht="15.75" customHeight="1" x14ac:dyDescent="0.2">
      <c r="A32" s="373" t="s">
        <v>561</v>
      </c>
      <c r="B32" s="560">
        <f>SUM(B24:B31)</f>
        <v>0</v>
      </c>
      <c r="C32" s="558"/>
    </row>
    <row r="33" spans="1:3" ht="24.75" customHeight="1" x14ac:dyDescent="0.2">
      <c r="A33" s="129" t="s">
        <v>562</v>
      </c>
      <c r="B33" s="561"/>
      <c r="C33" s="396"/>
    </row>
    <row r="34" spans="1:3" ht="15.75" customHeight="1" x14ac:dyDescent="0.2">
      <c r="A34" s="101" t="s">
        <v>430</v>
      </c>
      <c r="B34" s="559"/>
      <c r="C34" s="123"/>
    </row>
    <row r="35" spans="1:3" ht="15.75" customHeight="1" x14ac:dyDescent="0.2">
      <c r="A35" s="101" t="s">
        <v>563</v>
      </c>
      <c r="B35" s="559"/>
      <c r="C35" s="123"/>
    </row>
    <row r="36" spans="1:3" ht="15.75" customHeight="1" x14ac:dyDescent="0.2">
      <c r="A36" s="373" t="s">
        <v>564</v>
      </c>
      <c r="B36" s="560">
        <f>B34+B35</f>
        <v>0</v>
      </c>
      <c r="C36" s="562"/>
    </row>
    <row r="37" spans="1:3" ht="15.75" customHeight="1" x14ac:dyDescent="0.2">
      <c r="A37" s="523" t="s">
        <v>565</v>
      </c>
      <c r="B37" s="563">
        <f>B22+B32+B36</f>
        <v>0</v>
      </c>
      <c r="C37" s="564"/>
    </row>
    <row r="38" spans="1:3" ht="15.75" customHeight="1" x14ac:dyDescent="0.2">
      <c r="A38" s="523" t="s">
        <v>566</v>
      </c>
      <c r="B38" s="565" t="str">
        <f>IFERROR(((B22+B32)/B37)*100,"")</f>
        <v/>
      </c>
      <c r="C38" s="566"/>
    </row>
    <row r="40" spans="1:3" x14ac:dyDescent="0.2">
      <c r="A40" s="191" t="s">
        <v>567</v>
      </c>
    </row>
  </sheetData>
  <sheetProtection algorithmName="SHA-512" hashValue="uxGav65xRh2zasrxByexZsjUddq2eb/yQzaItqJpsN2jvZxM1gGphvW0rif8XDMRrJWm/GrwmpxhxUtFTmgobQ==" saltValue="SghUrv2nHd9Ok/izXTfnGQ==" spinCount="100000" sheet="1" objects="1" scenarios="1" formatCells="0"/>
  <pageMargins left="0.7" right="0.7" top="0.75" bottom="0.75" header="0.511811023622047" footer="0.511811023622047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4"/>
  <sheetViews>
    <sheetView showGridLines="0" topLeftCell="A8" zoomScale="90" zoomScaleNormal="90" workbookViewId="0">
      <selection activeCell="A37" sqref="A37"/>
    </sheetView>
  </sheetViews>
  <sheetFormatPr baseColWidth="10" defaultColWidth="8.6640625" defaultRowHeight="15" x14ac:dyDescent="0.2"/>
  <cols>
    <col min="1" max="1" width="33" style="14" customWidth="1"/>
    <col min="2" max="2" width="36.5" style="14" customWidth="1"/>
    <col min="3" max="5" width="15.6640625" style="125" customWidth="1"/>
    <col min="6" max="16384" width="8.6640625" style="14"/>
  </cols>
  <sheetData>
    <row r="1" spans="1:6" ht="39.75" customHeight="1" x14ac:dyDescent="0.3">
      <c r="A1" s="59" t="s">
        <v>568</v>
      </c>
      <c r="B1" s="567"/>
    </row>
    <row r="2" spans="1:6" ht="15" customHeight="1" x14ac:dyDescent="0.3">
      <c r="A2" s="568"/>
      <c r="B2" s="567"/>
    </row>
    <row r="3" spans="1:6" ht="15" customHeight="1" x14ac:dyDescent="0.2">
      <c r="A3" s="569"/>
      <c r="B3" s="19"/>
      <c r="C3" s="154"/>
      <c r="D3" s="154"/>
      <c r="E3" s="570"/>
    </row>
    <row r="4" spans="1:6" ht="15" customHeight="1" x14ac:dyDescent="0.2">
      <c r="A4" s="24" t="s">
        <v>569</v>
      </c>
      <c r="B4" s="571"/>
      <c r="C4" s="572"/>
      <c r="D4" s="156"/>
      <c r="E4" s="573"/>
    </row>
    <row r="5" spans="1:6" ht="15" customHeight="1" x14ac:dyDescent="0.2">
      <c r="A5" s="24" t="s">
        <v>570</v>
      </c>
      <c r="B5" s="574"/>
      <c r="C5" s="572"/>
      <c r="D5" s="156"/>
      <c r="E5" s="573"/>
    </row>
    <row r="6" spans="1:6" ht="15" customHeight="1" x14ac:dyDescent="0.2">
      <c r="A6" s="24" t="s">
        <v>571</v>
      </c>
      <c r="B6" s="22"/>
      <c r="C6" s="156"/>
      <c r="D6" s="156"/>
      <c r="E6" s="573"/>
    </row>
    <row r="7" spans="1:6" ht="15" customHeight="1" x14ac:dyDescent="0.2">
      <c r="A7" s="24"/>
      <c r="B7" s="22"/>
      <c r="C7" s="156"/>
      <c r="D7" s="156"/>
      <c r="E7" s="573"/>
    </row>
    <row r="8" spans="1:6" ht="15" customHeight="1" x14ac:dyDescent="0.2">
      <c r="A8" s="24" t="s">
        <v>572</v>
      </c>
      <c r="B8" s="22"/>
      <c r="C8" s="156"/>
      <c r="D8" s="156"/>
      <c r="E8" s="573"/>
    </row>
    <row r="9" spans="1:6" ht="15" customHeight="1" x14ac:dyDescent="0.2">
      <c r="A9" s="24" t="s">
        <v>573</v>
      </c>
      <c r="B9" s="22"/>
      <c r="C9" s="156"/>
      <c r="D9" s="156"/>
      <c r="E9" s="573"/>
    </row>
    <row r="10" spans="1:6" ht="15" customHeight="1" x14ac:dyDescent="0.2">
      <c r="A10" s="25"/>
      <c r="B10" s="26"/>
      <c r="C10" s="159"/>
      <c r="D10" s="159"/>
      <c r="E10" s="575"/>
    </row>
    <row r="12" spans="1:6" ht="24.75" customHeight="1" x14ac:dyDescent="0.2">
      <c r="A12" s="96" t="s">
        <v>574</v>
      </c>
      <c r="B12" s="96" t="s">
        <v>575</v>
      </c>
      <c r="C12" s="170" t="s">
        <v>576</v>
      </c>
      <c r="D12" s="576" t="s">
        <v>577</v>
      </c>
      <c r="E12" s="170" t="s">
        <v>578</v>
      </c>
    </row>
    <row r="13" spans="1:6" x14ac:dyDescent="0.2">
      <c r="A13" s="116" t="s">
        <v>430</v>
      </c>
      <c r="B13" s="116" t="s">
        <v>579</v>
      </c>
      <c r="C13" s="141"/>
      <c r="D13" s="577">
        <v>1.6E-2</v>
      </c>
      <c r="E13" s="578">
        <f t="shared" ref="E13:E19" si="0">C13*D13</f>
        <v>0</v>
      </c>
      <c r="F13" s="579"/>
    </row>
    <row r="14" spans="1:6" x14ac:dyDescent="0.2">
      <c r="A14" s="116"/>
      <c r="B14" s="116" t="s">
        <v>580</v>
      </c>
      <c r="C14" s="141"/>
      <c r="D14" s="577">
        <v>3.4000000000000002E-2</v>
      </c>
      <c r="E14" s="578">
        <f t="shared" si="0"/>
        <v>0</v>
      </c>
      <c r="F14" s="579"/>
    </row>
    <row r="15" spans="1:6" x14ac:dyDescent="0.2">
      <c r="A15" s="116"/>
      <c r="B15" s="116" t="s">
        <v>581</v>
      </c>
      <c r="C15" s="141"/>
      <c r="D15" s="577">
        <v>0.1</v>
      </c>
      <c r="E15" s="578">
        <f t="shared" si="0"/>
        <v>0</v>
      </c>
      <c r="F15" s="579"/>
    </row>
    <row r="16" spans="1:6" x14ac:dyDescent="0.2">
      <c r="A16" s="116"/>
      <c r="B16" s="116" t="s">
        <v>582</v>
      </c>
      <c r="C16" s="141"/>
      <c r="D16" s="577">
        <v>0.2</v>
      </c>
      <c r="E16" s="578">
        <f t="shared" si="0"/>
        <v>0</v>
      </c>
      <c r="F16" s="579"/>
    </row>
    <row r="17" spans="1:6" x14ac:dyDescent="0.2">
      <c r="A17" s="116"/>
      <c r="B17" s="116" t="s">
        <v>583</v>
      </c>
      <c r="C17" s="141"/>
      <c r="D17" s="577">
        <v>0.3</v>
      </c>
      <c r="E17" s="578">
        <f t="shared" si="0"/>
        <v>0</v>
      </c>
      <c r="F17" s="579"/>
    </row>
    <row r="18" spans="1:6" x14ac:dyDescent="0.2">
      <c r="A18" s="116"/>
      <c r="B18" s="116" t="s">
        <v>584</v>
      </c>
      <c r="C18" s="141"/>
      <c r="D18" s="577">
        <v>0.4</v>
      </c>
      <c r="E18" s="578">
        <f t="shared" si="0"/>
        <v>0</v>
      </c>
      <c r="F18" s="579"/>
    </row>
    <row r="19" spans="1:6" x14ac:dyDescent="0.2">
      <c r="A19" s="116"/>
      <c r="B19" s="116" t="s">
        <v>585</v>
      </c>
      <c r="C19" s="141"/>
      <c r="D19" s="577">
        <v>0.3</v>
      </c>
      <c r="E19" s="578">
        <f t="shared" si="0"/>
        <v>0</v>
      </c>
      <c r="F19" s="579"/>
    </row>
    <row r="20" spans="1:6" x14ac:dyDescent="0.2">
      <c r="A20" s="196" t="s">
        <v>586</v>
      </c>
      <c r="B20" s="580"/>
      <c r="C20" s="581"/>
      <c r="D20" s="582"/>
      <c r="E20" s="560">
        <f>E13+E14+E15+E16+E17+E18+E19</f>
        <v>0</v>
      </c>
      <c r="F20" s="579"/>
    </row>
    <row r="21" spans="1:6" ht="15.75" customHeight="1" x14ac:dyDescent="0.2">
      <c r="A21" s="97" t="s">
        <v>587</v>
      </c>
      <c r="B21" s="116" t="s">
        <v>588</v>
      </c>
      <c r="C21" s="141"/>
      <c r="D21" s="577">
        <v>0.05</v>
      </c>
      <c r="E21" s="578">
        <f t="shared" ref="E21:E27" si="1">C21*D21</f>
        <v>0</v>
      </c>
      <c r="F21" s="579"/>
    </row>
    <row r="22" spans="1:6" x14ac:dyDescent="0.2">
      <c r="A22" s="116"/>
      <c r="B22" s="116" t="s">
        <v>589</v>
      </c>
      <c r="C22" s="141"/>
      <c r="D22" s="577">
        <v>0.08</v>
      </c>
      <c r="E22" s="578">
        <f t="shared" si="1"/>
        <v>0</v>
      </c>
      <c r="F22" s="579"/>
    </row>
    <row r="23" spans="1:6" x14ac:dyDescent="0.2">
      <c r="A23" s="116"/>
      <c r="B23" s="116" t="s">
        <v>590</v>
      </c>
      <c r="C23" s="141"/>
      <c r="D23" s="577">
        <v>0.25</v>
      </c>
      <c r="E23" s="578">
        <f t="shared" si="1"/>
        <v>0</v>
      </c>
      <c r="F23" s="579"/>
    </row>
    <row r="24" spans="1:6" ht="15.75" customHeight="1" x14ac:dyDescent="0.2">
      <c r="A24" s="97" t="s">
        <v>591</v>
      </c>
      <c r="B24" s="116" t="s">
        <v>592</v>
      </c>
      <c r="C24" s="141"/>
      <c r="D24" s="577">
        <v>2.4E-2</v>
      </c>
      <c r="E24" s="578">
        <f t="shared" si="1"/>
        <v>0</v>
      </c>
      <c r="F24" s="579"/>
    </row>
    <row r="25" spans="1:6" x14ac:dyDescent="0.2">
      <c r="A25" s="116"/>
      <c r="B25" s="116" t="s">
        <v>589</v>
      </c>
      <c r="C25" s="141"/>
      <c r="D25" s="577">
        <v>4.8000000000000001E-2</v>
      </c>
      <c r="E25" s="578">
        <f t="shared" si="1"/>
        <v>0</v>
      </c>
      <c r="F25" s="579"/>
    </row>
    <row r="26" spans="1:6" x14ac:dyDescent="0.2">
      <c r="A26" s="116"/>
      <c r="B26" s="116" t="s">
        <v>593</v>
      </c>
      <c r="C26" s="141"/>
      <c r="D26" s="577">
        <v>7.1999999999999995E-2</v>
      </c>
      <c r="E26" s="578">
        <f t="shared" si="1"/>
        <v>0</v>
      </c>
      <c r="F26" s="579"/>
    </row>
    <row r="27" spans="1:6" x14ac:dyDescent="0.2">
      <c r="A27" s="116"/>
      <c r="B27" s="116" t="s">
        <v>590</v>
      </c>
      <c r="C27" s="141"/>
      <c r="D27" s="577">
        <v>0.13200000000000001</v>
      </c>
      <c r="E27" s="578">
        <f t="shared" si="1"/>
        <v>0</v>
      </c>
      <c r="F27" s="579"/>
    </row>
    <row r="28" spans="1:6" x14ac:dyDescent="0.2">
      <c r="A28" s="196" t="s">
        <v>594</v>
      </c>
      <c r="B28" s="580"/>
      <c r="C28" s="581"/>
      <c r="D28" s="583"/>
      <c r="E28" s="560">
        <f>SUM(E21:E27)</f>
        <v>0</v>
      </c>
      <c r="F28" s="579"/>
    </row>
    <row r="29" spans="1:6" x14ac:dyDescent="0.2">
      <c r="A29" s="116" t="s">
        <v>595</v>
      </c>
      <c r="B29" s="116" t="s">
        <v>596</v>
      </c>
      <c r="C29" s="141"/>
      <c r="D29" s="577">
        <v>0.05</v>
      </c>
      <c r="E29" s="578">
        <f>C29*D29</f>
        <v>0</v>
      </c>
      <c r="F29" s="579"/>
    </row>
    <row r="30" spans="1:6" ht="16.5" customHeight="1" x14ac:dyDescent="0.2">
      <c r="A30" s="116"/>
      <c r="B30" s="116" t="s">
        <v>597</v>
      </c>
      <c r="C30" s="141"/>
      <c r="D30" s="577">
        <v>0.15</v>
      </c>
      <c r="E30" s="578">
        <f>C30*D30</f>
        <v>0</v>
      </c>
      <c r="F30" s="579"/>
    </row>
    <row r="31" spans="1:6" x14ac:dyDescent="0.2">
      <c r="A31" s="196" t="s">
        <v>598</v>
      </c>
      <c r="B31" s="580"/>
      <c r="C31" s="581"/>
      <c r="D31" s="583"/>
      <c r="E31" s="560">
        <f>E29+E30</f>
        <v>0</v>
      </c>
      <c r="F31" s="579"/>
    </row>
    <row r="32" spans="1:6" x14ac:dyDescent="0.2">
      <c r="A32" s="116" t="s">
        <v>339</v>
      </c>
      <c r="B32" s="116" t="s">
        <v>588</v>
      </c>
      <c r="C32" s="141"/>
      <c r="D32" s="577">
        <v>7.0000000000000007E-2</v>
      </c>
      <c r="E32" s="578">
        <f>C32*D32</f>
        <v>0</v>
      </c>
      <c r="F32" s="579"/>
    </row>
    <row r="33" spans="1:6" x14ac:dyDescent="0.2">
      <c r="A33" s="116"/>
      <c r="B33" s="116" t="s">
        <v>589</v>
      </c>
      <c r="C33" s="141"/>
      <c r="D33" s="577">
        <v>2.4E-2</v>
      </c>
      <c r="E33" s="578">
        <f>C33*D33</f>
        <v>0</v>
      </c>
      <c r="F33" s="579"/>
    </row>
    <row r="34" spans="1:6" ht="16.5" customHeight="1" x14ac:dyDescent="0.2">
      <c r="A34" s="28"/>
      <c r="B34" s="116" t="s">
        <v>128</v>
      </c>
      <c r="C34" s="141"/>
      <c r="D34" s="577">
        <v>0.28000000000000003</v>
      </c>
      <c r="E34" s="578">
        <f>C34*D34</f>
        <v>0</v>
      </c>
      <c r="F34" s="579"/>
    </row>
    <row r="35" spans="1:6" x14ac:dyDescent="0.2">
      <c r="A35" s="196" t="s">
        <v>599</v>
      </c>
      <c r="B35" s="196"/>
      <c r="C35" s="584"/>
      <c r="D35" s="585"/>
      <c r="E35" s="560">
        <f>E32+E33+E34</f>
        <v>0</v>
      </c>
      <c r="F35" s="579"/>
    </row>
    <row r="36" spans="1:6" ht="16.5" customHeight="1" x14ac:dyDescent="0.2">
      <c r="A36" s="116" t="s">
        <v>600</v>
      </c>
      <c r="B36" s="116" t="s">
        <v>128</v>
      </c>
      <c r="C36" s="141"/>
      <c r="D36" s="577">
        <v>0.1</v>
      </c>
      <c r="E36" s="578">
        <f>C36*D36</f>
        <v>0</v>
      </c>
      <c r="F36" s="579"/>
    </row>
    <row r="37" spans="1:6" x14ac:dyDescent="0.2">
      <c r="A37" s="116"/>
      <c r="B37" s="116" t="s">
        <v>601</v>
      </c>
      <c r="C37" s="141"/>
      <c r="D37" s="577">
        <v>2.5000000000000001E-2</v>
      </c>
      <c r="E37" s="578">
        <f>C37*D37</f>
        <v>0</v>
      </c>
      <c r="F37" s="579"/>
    </row>
    <row r="38" spans="1:6" x14ac:dyDescent="0.2">
      <c r="A38" s="196" t="s">
        <v>602</v>
      </c>
      <c r="B38" s="196"/>
      <c r="C38" s="584"/>
      <c r="D38" s="585"/>
      <c r="E38" s="560">
        <f>E36+E37</f>
        <v>0</v>
      </c>
      <c r="F38" s="579"/>
    </row>
    <row r="39" spans="1:6" ht="16.5" customHeight="1" x14ac:dyDescent="0.2">
      <c r="A39" s="116" t="s">
        <v>603</v>
      </c>
      <c r="B39" s="116" t="s">
        <v>128</v>
      </c>
      <c r="C39" s="141"/>
      <c r="D39" s="577">
        <v>0.1</v>
      </c>
      <c r="E39" s="578">
        <f>C39*D39</f>
        <v>0</v>
      </c>
      <c r="F39" s="579"/>
    </row>
    <row r="40" spans="1:6" ht="16.5" customHeight="1" x14ac:dyDescent="0.2">
      <c r="A40" s="116" t="s">
        <v>559</v>
      </c>
      <c r="B40" s="116" t="s">
        <v>128</v>
      </c>
      <c r="C40" s="141"/>
      <c r="D40" s="577">
        <v>0.6</v>
      </c>
      <c r="E40" s="578">
        <f>C40*D40</f>
        <v>0</v>
      </c>
      <c r="F40" s="579"/>
    </row>
    <row r="41" spans="1:6" ht="16.5" customHeight="1" x14ac:dyDescent="0.2">
      <c r="A41" s="116" t="s">
        <v>604</v>
      </c>
      <c r="B41" s="116" t="s">
        <v>128</v>
      </c>
      <c r="C41" s="141"/>
      <c r="D41" s="577">
        <v>0.33</v>
      </c>
      <c r="E41" s="578">
        <f>C41*D41</f>
        <v>0</v>
      </c>
      <c r="F41" s="579"/>
    </row>
    <row r="42" spans="1:6" ht="16.5" customHeight="1" x14ac:dyDescent="0.2">
      <c r="A42" s="97" t="s">
        <v>605</v>
      </c>
      <c r="B42" s="116" t="s">
        <v>128</v>
      </c>
      <c r="C42" s="141"/>
      <c r="D42" s="577">
        <v>0.3</v>
      </c>
      <c r="E42" s="578">
        <f>C42*D42</f>
        <v>0</v>
      </c>
      <c r="F42" s="579"/>
    </row>
    <row r="43" spans="1:6" ht="16.5" customHeight="1" x14ac:dyDescent="0.2">
      <c r="A43" s="118" t="s">
        <v>606</v>
      </c>
      <c r="B43" s="174" t="s">
        <v>128</v>
      </c>
      <c r="C43" s="586"/>
      <c r="D43" s="587">
        <v>0.18</v>
      </c>
      <c r="E43" s="578">
        <f>C43*D43</f>
        <v>0</v>
      </c>
      <c r="F43" s="579"/>
    </row>
    <row r="44" spans="1:6" x14ac:dyDescent="0.2">
      <c r="A44" s="196" t="s">
        <v>607</v>
      </c>
      <c r="B44" s="196"/>
      <c r="C44" s="588"/>
      <c r="D44" s="589"/>
      <c r="E44" s="560">
        <f>E42+E43</f>
        <v>0</v>
      </c>
      <c r="F44" s="579"/>
    </row>
  </sheetData>
  <sheetProtection algorithmName="SHA-512" hashValue="XQMHzg6lkvs+PvILUpS/3FrlgDXA+LAb70iXAje81nzTeaP4aOcm6Pu0L+1t7bbbXqktIozFvgaNs8H0bcehIA==" saltValue="dF+KSmc5dLecQGmhc848NQ==" spinCount="100000" sheet="1" objects="1" scenarios="1" formatCells="0"/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6"/>
  <sheetViews>
    <sheetView zoomScaleNormal="100" workbookViewId="0"/>
  </sheetViews>
  <sheetFormatPr baseColWidth="10" defaultColWidth="8.6640625" defaultRowHeight="14" x14ac:dyDescent="0.15"/>
  <cols>
    <col min="1" max="1" width="78" customWidth="1"/>
    <col min="2" max="3" width="16" customWidth="1"/>
    <col min="4" max="4" width="60" customWidth="1"/>
  </cols>
  <sheetData>
    <row r="1" spans="1:4" ht="24" x14ac:dyDescent="0.3">
      <c r="A1" s="590" t="s">
        <v>608</v>
      </c>
    </row>
    <row r="3" spans="1:4" x14ac:dyDescent="0.15">
      <c r="A3" t="s">
        <v>609</v>
      </c>
    </row>
    <row r="4" spans="1:4" x14ac:dyDescent="0.15">
      <c r="A4" t="s">
        <v>610</v>
      </c>
    </row>
    <row r="6" spans="1:4" ht="15" x14ac:dyDescent="0.2">
      <c r="A6" s="15" t="s">
        <v>611</v>
      </c>
    </row>
    <row r="7" spans="1:4" ht="15" x14ac:dyDescent="0.2">
      <c r="A7" s="191" t="s">
        <v>612</v>
      </c>
    </row>
    <row r="9" spans="1:4" ht="16" x14ac:dyDescent="0.15">
      <c r="A9" s="160" t="s">
        <v>613</v>
      </c>
      <c r="B9" s="160" t="s">
        <v>614</v>
      </c>
      <c r="C9" s="160" t="s">
        <v>75</v>
      </c>
      <c r="D9" s="160" t="s">
        <v>615</v>
      </c>
    </row>
    <row r="10" spans="1:4" ht="15" x14ac:dyDescent="0.2">
      <c r="A10" s="163" t="s">
        <v>616</v>
      </c>
      <c r="B10" s="188"/>
      <c r="C10" t="s">
        <v>482</v>
      </c>
      <c r="D10" s="191" t="s">
        <v>617</v>
      </c>
    </row>
    <row r="11" spans="1:4" ht="15" x14ac:dyDescent="0.2">
      <c r="A11" s="163" t="s">
        <v>618</v>
      </c>
      <c r="B11" s="164">
        <v>12</v>
      </c>
      <c r="C11" t="s">
        <v>100</v>
      </c>
      <c r="D11" s="191" t="s">
        <v>619</v>
      </c>
    </row>
    <row r="12" spans="1:4" ht="15" x14ac:dyDescent="0.2">
      <c r="A12" s="163" t="s">
        <v>620</v>
      </c>
      <c r="B12" s="164">
        <v>0.5</v>
      </c>
      <c r="C12" t="s">
        <v>621</v>
      </c>
      <c r="D12" s="191" t="s">
        <v>622</v>
      </c>
    </row>
    <row r="13" spans="1:4" ht="15" x14ac:dyDescent="0.2">
      <c r="A13" s="163" t="s">
        <v>623</v>
      </c>
      <c r="B13" s="164">
        <f>44/12</f>
        <v>3.6666666666666665</v>
      </c>
      <c r="C13" t="s">
        <v>624</v>
      </c>
      <c r="D13" s="191" t="s">
        <v>625</v>
      </c>
    </row>
    <row r="15" spans="1:4" ht="15" x14ac:dyDescent="0.15">
      <c r="A15" s="163" t="s">
        <v>626</v>
      </c>
      <c r="B15" s="529">
        <f>IFERROR(B10/(1+B11/100),"")</f>
        <v>0</v>
      </c>
      <c r="C15" t="s">
        <v>119</v>
      </c>
      <c r="D15" t="s">
        <v>627</v>
      </c>
    </row>
    <row r="16" spans="1:4" ht="15" x14ac:dyDescent="0.15">
      <c r="A16" s="163" t="s">
        <v>628</v>
      </c>
      <c r="B16" s="529">
        <f>IFERROR(B15*B12,"")</f>
        <v>0</v>
      </c>
      <c r="C16" t="s">
        <v>629</v>
      </c>
    </row>
    <row r="18" spans="1:4" ht="15" x14ac:dyDescent="0.15">
      <c r="A18" s="591" t="s">
        <v>630</v>
      </c>
      <c r="B18" s="529">
        <f>IFERROR(B16*B13,"")</f>
        <v>0</v>
      </c>
      <c r="C18" t="s">
        <v>147</v>
      </c>
      <c r="D18" t="s">
        <v>631</v>
      </c>
    </row>
    <row r="20" spans="1:4" ht="15" x14ac:dyDescent="0.15">
      <c r="A20" s="163" t="s">
        <v>632</v>
      </c>
      <c r="B20" s="529">
        <f>IFERROR(B18,"")</f>
        <v>0</v>
      </c>
      <c r="C20" t="s">
        <v>147</v>
      </c>
    </row>
    <row r="22" spans="1:4" ht="15" x14ac:dyDescent="0.2">
      <c r="A22" s="163" t="s">
        <v>633</v>
      </c>
      <c r="B22" s="529">
        <f>IFERROR('B. Yhteenveto'!B23,"")</f>
        <v>0</v>
      </c>
      <c r="C22" t="s">
        <v>634</v>
      </c>
      <c r="D22" s="15" t="s">
        <v>635</v>
      </c>
    </row>
    <row r="23" spans="1:4" ht="15" x14ac:dyDescent="0.15">
      <c r="A23" s="163" t="s">
        <v>636</v>
      </c>
      <c r="B23" s="529">
        <f>IFERROR('B. Yhteenveto'!B25,"")</f>
        <v>0</v>
      </c>
      <c r="C23" t="s">
        <v>634</v>
      </c>
    </row>
    <row r="26" spans="1:4" ht="16" x14ac:dyDescent="0.15">
      <c r="A26" s="160" t="s">
        <v>637</v>
      </c>
      <c r="B26" s="160" t="s">
        <v>614</v>
      </c>
      <c r="C26" s="160" t="s">
        <v>75</v>
      </c>
      <c r="D26" s="160" t="s">
        <v>615</v>
      </c>
    </row>
    <row r="27" spans="1:4" ht="15" x14ac:dyDescent="0.15">
      <c r="A27" s="163" t="s">
        <v>638</v>
      </c>
      <c r="B27" s="529">
        <f>IFERROR('C.'!C71,"")</f>
        <v>0</v>
      </c>
      <c r="C27" t="s">
        <v>179</v>
      </c>
    </row>
    <row r="28" spans="1:4" ht="15" x14ac:dyDescent="0.2">
      <c r="A28" s="163" t="s">
        <v>639</v>
      </c>
      <c r="B28" s="164">
        <v>403</v>
      </c>
      <c r="C28" t="s">
        <v>640</v>
      </c>
      <c r="D28" s="191" t="s">
        <v>641</v>
      </c>
    </row>
    <row r="29" spans="1:4" ht="15" x14ac:dyDescent="0.2">
      <c r="A29" s="591" t="s">
        <v>642</v>
      </c>
      <c r="B29" s="529">
        <f>IFERROR(B27*B28/1000,"")</f>
        <v>0</v>
      </c>
      <c r="C29" t="s">
        <v>147</v>
      </c>
      <c r="D29" s="191" t="s">
        <v>643</v>
      </c>
    </row>
    <row r="32" spans="1:4" ht="16" x14ac:dyDescent="0.15">
      <c r="A32" s="160" t="s">
        <v>644</v>
      </c>
    </row>
    <row r="33" spans="1:1" x14ac:dyDescent="0.15">
      <c r="A33" t="s">
        <v>645</v>
      </c>
    </row>
    <row r="34" spans="1:1" ht="15" x14ac:dyDescent="0.2">
      <c r="A34" s="15" t="s">
        <v>646</v>
      </c>
    </row>
    <row r="35" spans="1:1" x14ac:dyDescent="0.15">
      <c r="A35" t="s">
        <v>647</v>
      </c>
    </row>
    <row r="36" spans="1:1" x14ac:dyDescent="0.15">
      <c r="A36" t="s">
        <v>648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1"/>
  <sheetViews>
    <sheetView zoomScaleNormal="100" workbookViewId="0"/>
  </sheetViews>
  <sheetFormatPr baseColWidth="10" defaultColWidth="8.6640625" defaultRowHeight="14" x14ac:dyDescent="0.15"/>
  <cols>
    <col min="1" max="1" width="34" customWidth="1"/>
    <col min="2" max="2" width="40" customWidth="1"/>
    <col min="3" max="3" width="30" customWidth="1"/>
    <col min="4" max="4" width="34" customWidth="1"/>
    <col min="5" max="5" width="44" customWidth="1"/>
  </cols>
  <sheetData>
    <row r="1" spans="1:5" ht="24" x14ac:dyDescent="0.3">
      <c r="A1" s="590" t="s">
        <v>649</v>
      </c>
    </row>
    <row r="3" spans="1:5" x14ac:dyDescent="0.15">
      <c r="A3" t="s">
        <v>650</v>
      </c>
    </row>
    <row r="4" spans="1:5" x14ac:dyDescent="0.15">
      <c r="A4" t="s">
        <v>651</v>
      </c>
    </row>
    <row r="6" spans="1:5" ht="16" x14ac:dyDescent="0.15">
      <c r="A6" s="160" t="s">
        <v>652</v>
      </c>
      <c r="B6" s="160" t="s">
        <v>653</v>
      </c>
      <c r="C6" s="160" t="s">
        <v>654</v>
      </c>
      <c r="D6" s="160" t="s">
        <v>655</v>
      </c>
      <c r="E6" s="160" t="s">
        <v>656</v>
      </c>
    </row>
    <row r="7" spans="1:5" ht="61.5" customHeight="1" x14ac:dyDescent="0.15">
      <c r="A7" s="592" t="s">
        <v>657</v>
      </c>
      <c r="B7" s="592" t="s">
        <v>658</v>
      </c>
      <c r="C7" s="592" t="s">
        <v>659</v>
      </c>
      <c r="D7" s="592" t="s">
        <v>660</v>
      </c>
      <c r="E7" s="592" t="s">
        <v>661</v>
      </c>
    </row>
    <row r="8" spans="1:5" ht="61.5" customHeight="1" x14ac:dyDescent="0.15">
      <c r="A8" s="592" t="s">
        <v>662</v>
      </c>
      <c r="B8" s="592" t="s">
        <v>663</v>
      </c>
      <c r="C8" s="592" t="s">
        <v>664</v>
      </c>
      <c r="D8" s="592" t="s">
        <v>665</v>
      </c>
      <c r="E8" s="592" t="s">
        <v>666</v>
      </c>
    </row>
    <row r="9" spans="1:5" ht="61.5" customHeight="1" x14ac:dyDescent="0.15">
      <c r="A9" s="592" t="s">
        <v>667</v>
      </c>
      <c r="B9" s="592" t="s">
        <v>668</v>
      </c>
      <c r="C9" s="592" t="s">
        <v>669</v>
      </c>
      <c r="D9" s="592" t="s">
        <v>670</v>
      </c>
      <c r="E9" s="592" t="s">
        <v>671</v>
      </c>
    </row>
    <row r="10" spans="1:5" ht="61.5" customHeight="1" x14ac:dyDescent="0.15">
      <c r="A10" s="592" t="s">
        <v>672</v>
      </c>
      <c r="B10" s="592" t="s">
        <v>673</v>
      </c>
      <c r="C10" s="592" t="s">
        <v>674</v>
      </c>
      <c r="D10" s="592" t="s">
        <v>675</v>
      </c>
      <c r="E10" s="592" t="s">
        <v>676</v>
      </c>
    </row>
    <row r="11" spans="1:5" ht="61.5" customHeight="1" x14ac:dyDescent="0.15">
      <c r="A11" s="592" t="s">
        <v>677</v>
      </c>
      <c r="B11" s="592" t="s">
        <v>678</v>
      </c>
      <c r="C11" s="592" t="s">
        <v>679</v>
      </c>
      <c r="D11" s="592" t="s">
        <v>680</v>
      </c>
      <c r="E11" s="592" t="s">
        <v>681</v>
      </c>
    </row>
    <row r="12" spans="1:5" ht="61.5" customHeight="1" x14ac:dyDescent="0.15">
      <c r="A12" s="592" t="s">
        <v>682</v>
      </c>
      <c r="B12" s="592" t="s">
        <v>683</v>
      </c>
      <c r="C12" s="592" t="s">
        <v>684</v>
      </c>
      <c r="D12" s="592" t="s">
        <v>685</v>
      </c>
      <c r="E12" s="592" t="s">
        <v>686</v>
      </c>
    </row>
    <row r="15" spans="1:5" ht="16" x14ac:dyDescent="0.15">
      <c r="A15" s="160" t="s">
        <v>687</v>
      </c>
    </row>
    <row r="16" spans="1:5" x14ac:dyDescent="0.15">
      <c r="A16" t="s">
        <v>688</v>
      </c>
    </row>
    <row r="17" spans="1:2" x14ac:dyDescent="0.15">
      <c r="A17" t="s">
        <v>689</v>
      </c>
    </row>
    <row r="18" spans="1:2" x14ac:dyDescent="0.15">
      <c r="A18" t="s">
        <v>690</v>
      </c>
    </row>
    <row r="21" spans="1:2" ht="16" x14ac:dyDescent="0.15">
      <c r="A21" s="160" t="s">
        <v>691</v>
      </c>
    </row>
    <row r="22" spans="1:2" ht="16" x14ac:dyDescent="0.15">
      <c r="A22" s="163" t="s">
        <v>692</v>
      </c>
      <c r="B22" s="164" t="s">
        <v>693</v>
      </c>
    </row>
    <row r="23" spans="1:2" ht="15" x14ac:dyDescent="0.15">
      <c r="A23" s="163" t="s">
        <v>64</v>
      </c>
      <c r="B23" s="164"/>
    </row>
    <row r="24" spans="1:2" ht="15" x14ac:dyDescent="0.15">
      <c r="A24" s="163" t="s">
        <v>694</v>
      </c>
      <c r="B24" s="164"/>
    </row>
    <row r="25" spans="1:2" ht="15" x14ac:dyDescent="0.15">
      <c r="A25" s="163" t="s">
        <v>695</v>
      </c>
      <c r="B25" s="164"/>
    </row>
    <row r="26" spans="1:2" ht="15" x14ac:dyDescent="0.15">
      <c r="A26" s="163" t="s">
        <v>696</v>
      </c>
      <c r="B26" s="164"/>
    </row>
    <row r="27" spans="1:2" ht="15" x14ac:dyDescent="0.15">
      <c r="A27" s="163" t="s">
        <v>697</v>
      </c>
      <c r="B27" s="164"/>
    </row>
    <row r="28" spans="1:2" ht="15" x14ac:dyDescent="0.15">
      <c r="A28" s="163" t="s">
        <v>698</v>
      </c>
      <c r="B28" s="164"/>
    </row>
    <row r="29" spans="1:2" ht="15" x14ac:dyDescent="0.15">
      <c r="A29" s="163" t="s">
        <v>699</v>
      </c>
      <c r="B29" s="164"/>
    </row>
    <row r="31" spans="1:2" ht="15" x14ac:dyDescent="0.2">
      <c r="A31" s="191" t="s">
        <v>704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13</vt:i4>
      </vt:variant>
    </vt:vector>
  </HeadingPairs>
  <TitlesOfParts>
    <vt:vector size="13" baseType="lpstr">
      <vt:lpstr>A. Ohje</vt:lpstr>
      <vt:lpstr>B. Yhteenveto</vt:lpstr>
      <vt:lpstr>C.</vt:lpstr>
      <vt:lpstr>D.</vt:lpstr>
      <vt:lpstr>E.</vt:lpstr>
      <vt:lpstr>F.</vt:lpstr>
      <vt:lpstr>G.</vt:lpstr>
      <vt:lpstr>H.</vt:lpstr>
      <vt:lpstr>I.</vt:lpstr>
      <vt:lpstr>J.</vt:lpstr>
      <vt:lpstr>K.</vt:lpstr>
      <vt:lpstr>L.</vt:lpstr>
      <vt:lpstr>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Kattainen</dc:creator>
  <dc:description/>
  <cp:lastModifiedBy>Viivi Kettula</cp:lastModifiedBy>
  <cp:revision>1</cp:revision>
  <dcterms:created xsi:type="dcterms:W3CDTF">2015-06-05T18:17:20Z</dcterms:created>
  <dcterms:modified xsi:type="dcterms:W3CDTF">2026-09-21T08:13:32Z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0x010100AF36C0E329ACE24891A99506AA9C559E</vt:lpwstr>
  </property>
</Properties>
</file>